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E:\ROMEU\CONDOMINIO\ASSEMBLEIA-25-07-2026\"/>
    </mc:Choice>
  </mc:AlternateContent>
  <xr:revisionPtr revIDLastSave="0" documentId="13_ncr:1_{4B179175-FA5F-4C68-8B51-CBBEC621D7FB}" xr6:coauthVersionLast="47" xr6:coauthVersionMax="47" xr10:uidLastSave="{00000000-0000-0000-0000-000000000000}"/>
  <bookViews>
    <workbookView xWindow="-120" yWindow="-120" windowWidth="51840" windowHeight="21120" tabRatio="727" xr2:uid="{00000000-000D-0000-FFFF-FFFF00000000}"/>
  </bookViews>
  <sheets>
    <sheet name="Resumo" sheetId="10" r:id="rId1"/>
    <sheet name="PREVISAO AJUSTADA 15,98%" sheetId="19" r:id="rId2"/>
    <sheet name="PREVISAO AJUSTADA 19,74%" sheetId="15" r:id="rId3"/>
    <sheet name="Time Ambiental Menor custo " sheetId="20" r:id="rId4"/>
  </sheets>
  <definedNames>
    <definedName name="_xlnm._FilterDatabase" localSheetId="1" hidden="1">'PREVISAO AJUSTADA 15,98%'!$A$7:$M$195</definedName>
    <definedName name="_xlnm._FilterDatabase" localSheetId="2" hidden="1">'PREVISAO AJUSTADA 19,74%'!$A$7:$M$195</definedName>
    <definedName name="_xlnm._FilterDatabase" localSheetId="0" hidden="1">Resumo!#REF!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20" l="1"/>
  <c r="B4" i="20"/>
  <c r="P7" i="20" s="1"/>
  <c r="K25" i="19" l="1"/>
  <c r="J25" i="19" l="1"/>
  <c r="C208" i="19"/>
  <c r="G195" i="19"/>
  <c r="K194" i="19"/>
  <c r="L194" i="19" s="1"/>
  <c r="I194" i="19"/>
  <c r="H194" i="19"/>
  <c r="G194" i="19"/>
  <c r="E194" i="19"/>
  <c r="C194" i="19"/>
  <c r="L193" i="19"/>
  <c r="D193" i="19"/>
  <c r="L192" i="19"/>
  <c r="J192" i="19"/>
  <c r="F189" i="19"/>
  <c r="D189" i="19"/>
  <c r="L187" i="19"/>
  <c r="J187" i="19"/>
  <c r="L186" i="19"/>
  <c r="J186" i="19"/>
  <c r="F186" i="19"/>
  <c r="D184" i="19"/>
  <c r="F183" i="19"/>
  <c r="D183" i="19"/>
  <c r="L182" i="19"/>
  <c r="J182" i="19"/>
  <c r="F182" i="19"/>
  <c r="D182" i="19"/>
  <c r="L181" i="19"/>
  <c r="J181" i="19"/>
  <c r="F181" i="19"/>
  <c r="D181" i="19"/>
  <c r="L180" i="19"/>
  <c r="J180" i="19"/>
  <c r="F180" i="19"/>
  <c r="D180" i="19"/>
  <c r="L179" i="19"/>
  <c r="J179" i="19"/>
  <c r="F179" i="19"/>
  <c r="D179" i="19"/>
  <c r="K176" i="19"/>
  <c r="L176" i="19" s="1"/>
  <c r="F176" i="19"/>
  <c r="D176" i="19"/>
  <c r="L175" i="19"/>
  <c r="J175" i="19"/>
  <c r="F175" i="19"/>
  <c r="D175" i="19"/>
  <c r="D172" i="19"/>
  <c r="L171" i="19"/>
  <c r="J171" i="19"/>
  <c r="F171" i="19"/>
  <c r="D171" i="19"/>
  <c r="L170" i="19"/>
  <c r="J170" i="19"/>
  <c r="D170" i="19"/>
  <c r="D168" i="19"/>
  <c r="L166" i="19"/>
  <c r="J166" i="19"/>
  <c r="F166" i="19"/>
  <c r="D166" i="19"/>
  <c r="L165" i="19"/>
  <c r="J165" i="19"/>
  <c r="F165" i="19"/>
  <c r="D165" i="19"/>
  <c r="L164" i="19"/>
  <c r="J164" i="19"/>
  <c r="F164" i="19"/>
  <c r="D164" i="19"/>
  <c r="D163" i="19"/>
  <c r="D160" i="19"/>
  <c r="F159" i="19"/>
  <c r="L158" i="19"/>
  <c r="J158" i="19"/>
  <c r="F158" i="19"/>
  <c r="D158" i="19"/>
  <c r="L157" i="19"/>
  <c r="J157" i="19"/>
  <c r="D157" i="19"/>
  <c r="L155" i="19"/>
  <c r="J155" i="19"/>
  <c r="D155" i="19"/>
  <c r="L153" i="19"/>
  <c r="J153" i="19"/>
  <c r="F153" i="19"/>
  <c r="D153" i="19"/>
  <c r="L152" i="19"/>
  <c r="J152" i="19"/>
  <c r="F152" i="19"/>
  <c r="D152" i="19"/>
  <c r="L151" i="19"/>
  <c r="J151" i="19"/>
  <c r="F151" i="19"/>
  <c r="D151" i="19"/>
  <c r="L150" i="19"/>
  <c r="J150" i="19"/>
  <c r="F150" i="19"/>
  <c r="D150" i="19"/>
  <c r="L149" i="19"/>
  <c r="J149" i="19"/>
  <c r="F149" i="19"/>
  <c r="F148" i="19"/>
  <c r="D148" i="19"/>
  <c r="L147" i="19"/>
  <c r="J147" i="19"/>
  <c r="F147" i="19"/>
  <c r="D147" i="19"/>
  <c r="L146" i="19"/>
  <c r="J146" i="19"/>
  <c r="F146" i="19"/>
  <c r="D146" i="19"/>
  <c r="L145" i="19"/>
  <c r="J145" i="19"/>
  <c r="F145" i="19"/>
  <c r="D145" i="19"/>
  <c r="L143" i="19"/>
  <c r="J143" i="19"/>
  <c r="F143" i="19"/>
  <c r="D143" i="19"/>
  <c r="L142" i="19"/>
  <c r="J142" i="19"/>
  <c r="F142" i="19"/>
  <c r="D142" i="19"/>
  <c r="L139" i="19"/>
  <c r="J139" i="19"/>
  <c r="F139" i="19"/>
  <c r="D139" i="19"/>
  <c r="L138" i="19"/>
  <c r="J138" i="19"/>
  <c r="L137" i="19"/>
  <c r="J137" i="19"/>
  <c r="F137" i="19"/>
  <c r="D137" i="19"/>
  <c r="L136" i="19"/>
  <c r="J136" i="19"/>
  <c r="F136" i="19"/>
  <c r="D136" i="19"/>
  <c r="L135" i="19"/>
  <c r="J135" i="19"/>
  <c r="F135" i="19"/>
  <c r="D135" i="19"/>
  <c r="L134" i="19"/>
  <c r="J134" i="19"/>
  <c r="F134" i="19"/>
  <c r="D134" i="19"/>
  <c r="L133" i="19"/>
  <c r="J133" i="19"/>
  <c r="F133" i="19"/>
  <c r="D133" i="19"/>
  <c r="L132" i="19"/>
  <c r="J132" i="19"/>
  <c r="F132" i="19"/>
  <c r="D132" i="19"/>
  <c r="L131" i="19"/>
  <c r="J131" i="19"/>
  <c r="F131" i="19"/>
  <c r="D131" i="19"/>
  <c r="L126" i="19"/>
  <c r="J126" i="19"/>
  <c r="F126" i="19"/>
  <c r="D126" i="19"/>
  <c r="L124" i="19"/>
  <c r="J124" i="19"/>
  <c r="F124" i="19"/>
  <c r="D124" i="19"/>
  <c r="L123" i="19"/>
  <c r="J123" i="19"/>
  <c r="L122" i="19"/>
  <c r="J122" i="19"/>
  <c r="D122" i="19"/>
  <c r="L120" i="19"/>
  <c r="J120" i="19"/>
  <c r="F120" i="19"/>
  <c r="D120" i="19"/>
  <c r="L119" i="19"/>
  <c r="J119" i="19"/>
  <c r="L118" i="19"/>
  <c r="J118" i="19"/>
  <c r="F118" i="19"/>
  <c r="D118" i="19"/>
  <c r="L117" i="19"/>
  <c r="J117" i="19"/>
  <c r="F117" i="19"/>
  <c r="D117" i="19"/>
  <c r="L116" i="19"/>
  <c r="J116" i="19"/>
  <c r="F116" i="19"/>
  <c r="D116" i="19"/>
  <c r="L114" i="19"/>
  <c r="J114" i="19"/>
  <c r="F114" i="19"/>
  <c r="D114" i="19"/>
  <c r="H111" i="19"/>
  <c r="H195" i="19" s="1"/>
  <c r="G111" i="19"/>
  <c r="E111" i="19"/>
  <c r="D111" i="19"/>
  <c r="C111" i="19"/>
  <c r="L110" i="19"/>
  <c r="J110" i="19"/>
  <c r="F110" i="19"/>
  <c r="D110" i="19"/>
  <c r="L109" i="19"/>
  <c r="J109" i="19"/>
  <c r="L108" i="19"/>
  <c r="J108" i="19"/>
  <c r="F107" i="19"/>
  <c r="L106" i="19"/>
  <c r="J106" i="19"/>
  <c r="F106" i="19"/>
  <c r="D106" i="19"/>
  <c r="L105" i="19"/>
  <c r="J105" i="19"/>
  <c r="F105" i="19"/>
  <c r="D105" i="19"/>
  <c r="F103" i="19"/>
  <c r="D103" i="19"/>
  <c r="F102" i="19"/>
  <c r="D102" i="19"/>
  <c r="L101" i="19"/>
  <c r="J101" i="19"/>
  <c r="F101" i="19"/>
  <c r="D101" i="19"/>
  <c r="D100" i="19"/>
  <c r="L99" i="19"/>
  <c r="J99" i="19"/>
  <c r="F99" i="19"/>
  <c r="D99" i="19"/>
  <c r="F98" i="19"/>
  <c r="D98" i="19"/>
  <c r="L97" i="19"/>
  <c r="J97" i="19"/>
  <c r="F97" i="19"/>
  <c r="D97" i="19"/>
  <c r="L95" i="19"/>
  <c r="J95" i="19"/>
  <c r="F95" i="19"/>
  <c r="D95" i="19"/>
  <c r="L94" i="19"/>
  <c r="J94" i="19"/>
  <c r="F94" i="19"/>
  <c r="D94" i="19"/>
  <c r="F93" i="19"/>
  <c r="D93" i="19"/>
  <c r="L92" i="19"/>
  <c r="J92" i="19"/>
  <c r="F92" i="19"/>
  <c r="L91" i="19"/>
  <c r="J91" i="19"/>
  <c r="L90" i="19"/>
  <c r="J90" i="19"/>
  <c r="F90" i="19"/>
  <c r="D90" i="19"/>
  <c r="L89" i="19"/>
  <c r="J89" i="19"/>
  <c r="F89" i="19"/>
  <c r="L88" i="19"/>
  <c r="J88" i="19"/>
  <c r="F88" i="19"/>
  <c r="D88" i="19"/>
  <c r="L87" i="19"/>
  <c r="J87" i="19"/>
  <c r="F87" i="19"/>
  <c r="D87" i="19"/>
  <c r="D86" i="19"/>
  <c r="L85" i="19"/>
  <c r="J85" i="19"/>
  <c r="F85" i="19"/>
  <c r="D85" i="19"/>
  <c r="L83" i="19"/>
  <c r="J83" i="19"/>
  <c r="F83" i="19"/>
  <c r="D83" i="19"/>
  <c r="F82" i="19"/>
  <c r="D82" i="19"/>
  <c r="L81" i="19"/>
  <c r="J81" i="19"/>
  <c r="F81" i="19"/>
  <c r="D81" i="19"/>
  <c r="F80" i="19"/>
  <c r="L79" i="19"/>
  <c r="J79" i="19"/>
  <c r="F79" i="19"/>
  <c r="D79" i="19"/>
  <c r="L78" i="19"/>
  <c r="J78" i="19"/>
  <c r="F78" i="19"/>
  <c r="D78" i="19"/>
  <c r="L77" i="19"/>
  <c r="J77" i="19"/>
  <c r="F76" i="19"/>
  <c r="D76" i="19"/>
  <c r="L74" i="19"/>
  <c r="J74" i="19"/>
  <c r="F74" i="19"/>
  <c r="D74" i="19"/>
  <c r="L73" i="19"/>
  <c r="J73" i="19"/>
  <c r="F73" i="19"/>
  <c r="D73" i="19"/>
  <c r="L72" i="19"/>
  <c r="J72" i="19"/>
  <c r="F72" i="19"/>
  <c r="D72" i="19"/>
  <c r="L71" i="19"/>
  <c r="J71" i="19"/>
  <c r="F71" i="19"/>
  <c r="D71" i="19"/>
  <c r="L70" i="19"/>
  <c r="J70" i="19"/>
  <c r="F70" i="19"/>
  <c r="D70" i="19"/>
  <c r="L68" i="19"/>
  <c r="J68" i="19"/>
  <c r="F68" i="19"/>
  <c r="D68" i="19"/>
  <c r="I67" i="19"/>
  <c r="K67" i="19" s="1"/>
  <c r="D67" i="19"/>
  <c r="L66" i="19"/>
  <c r="J66" i="19"/>
  <c r="F66" i="19"/>
  <c r="D66" i="19"/>
  <c r="L65" i="19"/>
  <c r="J65" i="19"/>
  <c r="F65" i="19"/>
  <c r="D65" i="19"/>
  <c r="L64" i="19"/>
  <c r="J64" i="19"/>
  <c r="F64" i="19"/>
  <c r="D64" i="19"/>
  <c r="L63" i="19"/>
  <c r="J63" i="19"/>
  <c r="F63" i="19"/>
  <c r="D63" i="19"/>
  <c r="K60" i="19"/>
  <c r="L60" i="19" s="1"/>
  <c r="I60" i="19"/>
  <c r="J60" i="19" s="1"/>
  <c r="H60" i="19"/>
  <c r="G60" i="19"/>
  <c r="E60" i="19"/>
  <c r="C60" i="19"/>
  <c r="D60" i="19" s="1"/>
  <c r="L59" i="19"/>
  <c r="J59" i="19"/>
  <c r="D59" i="19"/>
  <c r="L58" i="19"/>
  <c r="J58" i="19"/>
  <c r="L57" i="19"/>
  <c r="L56" i="19"/>
  <c r="J56" i="19"/>
  <c r="D56" i="19"/>
  <c r="L54" i="19"/>
  <c r="J54" i="19"/>
  <c r="F54" i="19"/>
  <c r="D54" i="19"/>
  <c r="D53" i="19"/>
  <c r="L52" i="19"/>
  <c r="J52" i="19"/>
  <c r="L51" i="19"/>
  <c r="J51" i="19"/>
  <c r="F51" i="19"/>
  <c r="L50" i="19"/>
  <c r="J50" i="19"/>
  <c r="F50" i="19"/>
  <c r="D50" i="19"/>
  <c r="I47" i="19"/>
  <c r="H47" i="19"/>
  <c r="G47" i="19"/>
  <c r="F47" i="19" s="1"/>
  <c r="E47" i="19"/>
  <c r="D47" i="19" s="1"/>
  <c r="C47" i="19"/>
  <c r="L46" i="19"/>
  <c r="J46" i="19"/>
  <c r="F46" i="19"/>
  <c r="D45" i="19"/>
  <c r="L44" i="19"/>
  <c r="J44" i="19"/>
  <c r="F44" i="19"/>
  <c r="D44" i="19"/>
  <c r="L43" i="19"/>
  <c r="J43" i="19"/>
  <c r="F43" i="19"/>
  <c r="D43" i="19"/>
  <c r="F42" i="19"/>
  <c r="D42" i="19"/>
  <c r="L41" i="19"/>
  <c r="J41" i="19"/>
  <c r="L40" i="19"/>
  <c r="J40" i="19"/>
  <c r="F40" i="19"/>
  <c r="D40" i="19"/>
  <c r="L39" i="19"/>
  <c r="J39" i="19"/>
  <c r="F39" i="19"/>
  <c r="L38" i="19"/>
  <c r="J38" i="19"/>
  <c r="F38" i="19"/>
  <c r="D38" i="19"/>
  <c r="L37" i="19"/>
  <c r="J37" i="19"/>
  <c r="F37" i="19"/>
  <c r="D37" i="19"/>
  <c r="L36" i="19"/>
  <c r="J36" i="19"/>
  <c r="F36" i="19"/>
  <c r="D36" i="19"/>
  <c r="L35" i="19"/>
  <c r="J35" i="19"/>
  <c r="F35" i="19"/>
  <c r="D35" i="19"/>
  <c r="F34" i="19"/>
  <c r="L33" i="19"/>
  <c r="J33" i="19"/>
  <c r="F33" i="19"/>
  <c r="D33" i="19"/>
  <c r="L32" i="19"/>
  <c r="J32" i="19"/>
  <c r="F32" i="19"/>
  <c r="D32" i="19"/>
  <c r="L31" i="19"/>
  <c r="J31" i="19"/>
  <c r="F31" i="19"/>
  <c r="D31" i="19"/>
  <c r="L30" i="19"/>
  <c r="J30" i="19"/>
  <c r="F30" i="19"/>
  <c r="L29" i="19"/>
  <c r="J29" i="19"/>
  <c r="F29" i="19"/>
  <c r="D29" i="19"/>
  <c r="L28" i="19"/>
  <c r="J28" i="19"/>
  <c r="F28" i="19"/>
  <c r="D28" i="19"/>
  <c r="L27" i="19"/>
  <c r="J27" i="19"/>
  <c r="F27" i="19"/>
  <c r="D27" i="19"/>
  <c r="L26" i="19"/>
  <c r="J26" i="19"/>
  <c r="F26" i="19"/>
  <c r="D26" i="19"/>
  <c r="F25" i="19"/>
  <c r="D25" i="19"/>
  <c r="K22" i="19"/>
  <c r="I22" i="19"/>
  <c r="H22" i="19"/>
  <c r="G22" i="19"/>
  <c r="E22" i="19"/>
  <c r="C22" i="19"/>
  <c r="C195" i="19" s="1"/>
  <c r="L21" i="19"/>
  <c r="J21" i="19"/>
  <c r="F21" i="19"/>
  <c r="D21" i="19"/>
  <c r="L20" i="19"/>
  <c r="J20" i="19"/>
  <c r="F20" i="19"/>
  <c r="D20" i="19"/>
  <c r="L19" i="19"/>
  <c r="J19" i="19"/>
  <c r="F19" i="19"/>
  <c r="L18" i="19"/>
  <c r="J18" i="19"/>
  <c r="F18" i="19"/>
  <c r="D18" i="19"/>
  <c r="L17" i="19"/>
  <c r="J17" i="19"/>
  <c r="F17" i="19"/>
  <c r="D17" i="19"/>
  <c r="L16" i="19"/>
  <c r="J16" i="19"/>
  <c r="F16" i="19"/>
  <c r="D16" i="19"/>
  <c r="K13" i="19"/>
  <c r="L13" i="19" s="1"/>
  <c r="I13" i="19"/>
  <c r="H13" i="19"/>
  <c r="G13" i="19"/>
  <c r="E13" i="19"/>
  <c r="C13" i="19"/>
  <c r="D13" i="19" s="1"/>
  <c r="L11" i="19"/>
  <c r="J11" i="19"/>
  <c r="F11" i="19"/>
  <c r="D11" i="19"/>
  <c r="L9" i="19"/>
  <c r="F9" i="19"/>
  <c r="D9" i="19"/>
  <c r="L8" i="19"/>
  <c r="F8" i="19"/>
  <c r="D8" i="19"/>
  <c r="G26" i="10"/>
  <c r="F111" i="19" l="1"/>
  <c r="F60" i="19"/>
  <c r="F13" i="19"/>
  <c r="D194" i="19"/>
  <c r="J22" i="19"/>
  <c r="F22" i="19"/>
  <c r="I111" i="19"/>
  <c r="I195" i="19" s="1"/>
  <c r="J13" i="19"/>
  <c r="J176" i="19"/>
  <c r="D22" i="19"/>
  <c r="E195" i="19"/>
  <c r="D195" i="19" s="1"/>
  <c r="L25" i="19"/>
  <c r="K47" i="19"/>
  <c r="K111" i="19"/>
  <c r="L67" i="19"/>
  <c r="F67" i="19"/>
  <c r="J194" i="19"/>
  <c r="L22" i="19"/>
  <c r="F194" i="19"/>
  <c r="F195" i="19" l="1"/>
  <c r="L47" i="19"/>
  <c r="J47" i="19"/>
  <c r="J111" i="19"/>
  <c r="L111" i="19"/>
  <c r="K195" i="19"/>
  <c r="M116" i="19" l="1"/>
  <c r="C199" i="19"/>
  <c r="C200" i="19" s="1"/>
  <c r="C201" i="19" s="1"/>
  <c r="L195" i="19"/>
  <c r="M149" i="19"/>
  <c r="C205" i="19" l="1"/>
  <c r="C202" i="19"/>
  <c r="C203" i="19" s="1"/>
  <c r="C206" i="19" s="1"/>
  <c r="C209" i="19" s="1"/>
  <c r="C210" i="19" s="1"/>
  <c r="F26" i="10" l="1"/>
  <c r="E26" i="10"/>
  <c r="D26" i="10"/>
  <c r="M10" i="10"/>
  <c r="L10" i="10"/>
  <c r="K10" i="10"/>
  <c r="J10" i="10"/>
  <c r="C208" i="15"/>
  <c r="K194" i="15"/>
  <c r="I194" i="15"/>
  <c r="H194" i="15"/>
  <c r="G194" i="15"/>
  <c r="E194" i="15"/>
  <c r="C194" i="15"/>
  <c r="L193" i="15"/>
  <c r="D193" i="15"/>
  <c r="L192" i="15"/>
  <c r="J192" i="15"/>
  <c r="F189" i="15"/>
  <c r="D189" i="15"/>
  <c r="L187" i="15"/>
  <c r="J187" i="15"/>
  <c r="L186" i="15"/>
  <c r="J186" i="15"/>
  <c r="F186" i="15"/>
  <c r="D184" i="15"/>
  <c r="F183" i="15"/>
  <c r="D183" i="15"/>
  <c r="L182" i="15"/>
  <c r="J182" i="15"/>
  <c r="F182" i="15"/>
  <c r="D182" i="15"/>
  <c r="L181" i="15"/>
  <c r="J181" i="15"/>
  <c r="F181" i="15"/>
  <c r="D181" i="15"/>
  <c r="L180" i="15"/>
  <c r="J180" i="15"/>
  <c r="F180" i="15"/>
  <c r="D180" i="15"/>
  <c r="L179" i="15"/>
  <c r="J179" i="15"/>
  <c r="F179" i="15"/>
  <c r="D179" i="15"/>
  <c r="K176" i="15"/>
  <c r="F176" i="15"/>
  <c r="D176" i="15"/>
  <c r="L175" i="15"/>
  <c r="J175" i="15"/>
  <c r="F175" i="15"/>
  <c r="D175" i="15"/>
  <c r="D172" i="15"/>
  <c r="L171" i="15"/>
  <c r="J171" i="15"/>
  <c r="F171" i="15"/>
  <c r="D171" i="15"/>
  <c r="L170" i="15"/>
  <c r="J170" i="15"/>
  <c r="D170" i="15"/>
  <c r="D168" i="15"/>
  <c r="L166" i="15"/>
  <c r="J166" i="15"/>
  <c r="F166" i="15"/>
  <c r="D166" i="15"/>
  <c r="L165" i="15"/>
  <c r="J165" i="15"/>
  <c r="F165" i="15"/>
  <c r="D165" i="15"/>
  <c r="L164" i="15"/>
  <c r="J164" i="15"/>
  <c r="F164" i="15"/>
  <c r="D164" i="15"/>
  <c r="D163" i="15"/>
  <c r="D160" i="15"/>
  <c r="F159" i="15"/>
  <c r="L158" i="15"/>
  <c r="J158" i="15"/>
  <c r="F158" i="15"/>
  <c r="D158" i="15"/>
  <c r="L157" i="15"/>
  <c r="J157" i="15"/>
  <c r="D157" i="15"/>
  <c r="L155" i="15"/>
  <c r="J155" i="15"/>
  <c r="D155" i="15"/>
  <c r="L153" i="15"/>
  <c r="J153" i="15"/>
  <c r="F153" i="15"/>
  <c r="D153" i="15"/>
  <c r="L152" i="15"/>
  <c r="J152" i="15"/>
  <c r="F152" i="15"/>
  <c r="D152" i="15"/>
  <c r="L151" i="15"/>
  <c r="J151" i="15"/>
  <c r="F151" i="15"/>
  <c r="D151" i="15"/>
  <c r="L150" i="15"/>
  <c r="J150" i="15"/>
  <c r="F150" i="15"/>
  <c r="D150" i="15"/>
  <c r="L149" i="15"/>
  <c r="J149" i="15"/>
  <c r="F149" i="15"/>
  <c r="F148" i="15"/>
  <c r="D148" i="15"/>
  <c r="L147" i="15"/>
  <c r="J147" i="15"/>
  <c r="F147" i="15"/>
  <c r="D147" i="15"/>
  <c r="L146" i="15"/>
  <c r="J146" i="15"/>
  <c r="F146" i="15"/>
  <c r="D146" i="15"/>
  <c r="L145" i="15"/>
  <c r="J145" i="15"/>
  <c r="F145" i="15"/>
  <c r="D145" i="15"/>
  <c r="L143" i="15"/>
  <c r="J143" i="15"/>
  <c r="F143" i="15"/>
  <c r="D143" i="15"/>
  <c r="L142" i="15"/>
  <c r="J142" i="15"/>
  <c r="F142" i="15"/>
  <c r="D142" i="15"/>
  <c r="L139" i="15"/>
  <c r="J139" i="15"/>
  <c r="F139" i="15"/>
  <c r="D139" i="15"/>
  <c r="L138" i="15"/>
  <c r="J138" i="15"/>
  <c r="L137" i="15"/>
  <c r="J137" i="15"/>
  <c r="F137" i="15"/>
  <c r="D137" i="15"/>
  <c r="L136" i="15"/>
  <c r="J136" i="15"/>
  <c r="F136" i="15"/>
  <c r="D136" i="15"/>
  <c r="L135" i="15"/>
  <c r="J135" i="15"/>
  <c r="F135" i="15"/>
  <c r="D135" i="15"/>
  <c r="L134" i="15"/>
  <c r="J134" i="15"/>
  <c r="F134" i="15"/>
  <c r="D134" i="15"/>
  <c r="L133" i="15"/>
  <c r="J133" i="15"/>
  <c r="F133" i="15"/>
  <c r="D133" i="15"/>
  <c r="L132" i="15"/>
  <c r="J132" i="15"/>
  <c r="F132" i="15"/>
  <c r="D132" i="15"/>
  <c r="L131" i="15"/>
  <c r="J131" i="15"/>
  <c r="F131" i="15"/>
  <c r="D131" i="15"/>
  <c r="L126" i="15"/>
  <c r="J126" i="15"/>
  <c r="F126" i="15"/>
  <c r="D126" i="15"/>
  <c r="L124" i="15"/>
  <c r="J124" i="15"/>
  <c r="F124" i="15"/>
  <c r="D124" i="15"/>
  <c r="L123" i="15"/>
  <c r="J123" i="15"/>
  <c r="L122" i="15"/>
  <c r="J122" i="15"/>
  <c r="D122" i="15"/>
  <c r="L120" i="15"/>
  <c r="J120" i="15"/>
  <c r="F120" i="15"/>
  <c r="D120" i="15"/>
  <c r="L119" i="15"/>
  <c r="J119" i="15"/>
  <c r="L118" i="15"/>
  <c r="J118" i="15"/>
  <c r="F118" i="15"/>
  <c r="D118" i="15"/>
  <c r="L117" i="15"/>
  <c r="J117" i="15"/>
  <c r="F117" i="15"/>
  <c r="D117" i="15"/>
  <c r="L116" i="15"/>
  <c r="J116" i="15"/>
  <c r="F116" i="15"/>
  <c r="D116" i="15"/>
  <c r="L114" i="15"/>
  <c r="J114" i="15"/>
  <c r="F114" i="15"/>
  <c r="D114" i="15"/>
  <c r="H111" i="15"/>
  <c r="G111" i="15"/>
  <c r="E111" i="15"/>
  <c r="C111" i="15"/>
  <c r="L110" i="15"/>
  <c r="J110" i="15"/>
  <c r="F110" i="15"/>
  <c r="D110" i="15"/>
  <c r="L109" i="15"/>
  <c r="J109" i="15"/>
  <c r="L108" i="15"/>
  <c r="J108" i="15"/>
  <c r="F107" i="15"/>
  <c r="L106" i="15"/>
  <c r="J106" i="15"/>
  <c r="F106" i="15"/>
  <c r="D106" i="15"/>
  <c r="L105" i="15"/>
  <c r="J105" i="15"/>
  <c r="F105" i="15"/>
  <c r="D105" i="15"/>
  <c r="F103" i="15"/>
  <c r="D103" i="15"/>
  <c r="F102" i="15"/>
  <c r="D102" i="15"/>
  <c r="L101" i="15"/>
  <c r="J101" i="15"/>
  <c r="F101" i="15"/>
  <c r="D101" i="15"/>
  <c r="D100" i="15"/>
  <c r="L99" i="15"/>
  <c r="J99" i="15"/>
  <c r="F99" i="15"/>
  <c r="D99" i="15"/>
  <c r="F98" i="15"/>
  <c r="D98" i="15"/>
  <c r="L97" i="15"/>
  <c r="J97" i="15"/>
  <c r="F97" i="15"/>
  <c r="D97" i="15"/>
  <c r="L95" i="15"/>
  <c r="J95" i="15"/>
  <c r="F95" i="15"/>
  <c r="D95" i="15"/>
  <c r="L94" i="15"/>
  <c r="J94" i="15"/>
  <c r="F94" i="15"/>
  <c r="D94" i="15"/>
  <c r="F93" i="15"/>
  <c r="D93" i="15"/>
  <c r="L92" i="15"/>
  <c r="J92" i="15"/>
  <c r="F92" i="15"/>
  <c r="L91" i="15"/>
  <c r="J91" i="15"/>
  <c r="L90" i="15"/>
  <c r="J90" i="15"/>
  <c r="F90" i="15"/>
  <c r="D90" i="15"/>
  <c r="L89" i="15"/>
  <c r="J89" i="15"/>
  <c r="F89" i="15"/>
  <c r="L88" i="15"/>
  <c r="J88" i="15"/>
  <c r="F88" i="15"/>
  <c r="D88" i="15"/>
  <c r="L87" i="15"/>
  <c r="J87" i="15"/>
  <c r="F87" i="15"/>
  <c r="D87" i="15"/>
  <c r="D86" i="15"/>
  <c r="L85" i="15"/>
  <c r="J85" i="15"/>
  <c r="F85" i="15"/>
  <c r="D85" i="15"/>
  <c r="L83" i="15"/>
  <c r="J83" i="15"/>
  <c r="F83" i="15"/>
  <c r="D83" i="15"/>
  <c r="F82" i="15"/>
  <c r="D82" i="15"/>
  <c r="L81" i="15"/>
  <c r="J81" i="15"/>
  <c r="F81" i="15"/>
  <c r="D81" i="15"/>
  <c r="F80" i="15"/>
  <c r="L79" i="15"/>
  <c r="J79" i="15"/>
  <c r="F79" i="15"/>
  <c r="D79" i="15"/>
  <c r="L78" i="15"/>
  <c r="J78" i="15"/>
  <c r="F78" i="15"/>
  <c r="D78" i="15"/>
  <c r="L77" i="15"/>
  <c r="J77" i="15"/>
  <c r="F76" i="15"/>
  <c r="D76" i="15"/>
  <c r="L74" i="15"/>
  <c r="J74" i="15"/>
  <c r="F74" i="15"/>
  <c r="D74" i="15"/>
  <c r="L73" i="15"/>
  <c r="J73" i="15"/>
  <c r="F73" i="15"/>
  <c r="D73" i="15"/>
  <c r="L72" i="15"/>
  <c r="J72" i="15"/>
  <c r="F72" i="15"/>
  <c r="D72" i="15"/>
  <c r="L71" i="15"/>
  <c r="J71" i="15"/>
  <c r="F71" i="15"/>
  <c r="D71" i="15"/>
  <c r="L70" i="15"/>
  <c r="J70" i="15"/>
  <c r="F70" i="15"/>
  <c r="D70" i="15"/>
  <c r="L68" i="15"/>
  <c r="J68" i="15"/>
  <c r="F68" i="15"/>
  <c r="D68" i="15"/>
  <c r="I67" i="15"/>
  <c r="D67" i="15"/>
  <c r="L66" i="15"/>
  <c r="J66" i="15"/>
  <c r="F66" i="15"/>
  <c r="D66" i="15"/>
  <c r="L65" i="15"/>
  <c r="J65" i="15"/>
  <c r="F65" i="15"/>
  <c r="D65" i="15"/>
  <c r="L64" i="15"/>
  <c r="J64" i="15"/>
  <c r="F64" i="15"/>
  <c r="D64" i="15"/>
  <c r="L63" i="15"/>
  <c r="J63" i="15"/>
  <c r="F63" i="15"/>
  <c r="D63" i="15"/>
  <c r="K60" i="15"/>
  <c r="I60" i="15"/>
  <c r="H60" i="15"/>
  <c r="G60" i="15"/>
  <c r="E60" i="15"/>
  <c r="C60" i="15"/>
  <c r="L59" i="15"/>
  <c r="J59" i="15"/>
  <c r="D59" i="15"/>
  <c r="L58" i="15"/>
  <c r="J58" i="15"/>
  <c r="L57" i="15"/>
  <c r="L56" i="15"/>
  <c r="J56" i="15"/>
  <c r="D56" i="15"/>
  <c r="L54" i="15"/>
  <c r="J54" i="15"/>
  <c r="F54" i="15"/>
  <c r="D54" i="15"/>
  <c r="D53" i="15"/>
  <c r="L52" i="15"/>
  <c r="J52" i="15"/>
  <c r="L51" i="15"/>
  <c r="J51" i="15"/>
  <c r="F51" i="15"/>
  <c r="L50" i="15"/>
  <c r="J50" i="15"/>
  <c r="F50" i="15"/>
  <c r="D50" i="15"/>
  <c r="K47" i="15"/>
  <c r="I47" i="15"/>
  <c r="H47" i="15"/>
  <c r="G47" i="15"/>
  <c r="E47" i="15"/>
  <c r="C47" i="15"/>
  <c r="L46" i="15"/>
  <c r="J46" i="15"/>
  <c r="F46" i="15"/>
  <c r="D45" i="15"/>
  <c r="L44" i="15"/>
  <c r="J44" i="15"/>
  <c r="F44" i="15"/>
  <c r="D44" i="15"/>
  <c r="L43" i="15"/>
  <c r="J43" i="15"/>
  <c r="F43" i="15"/>
  <c r="D43" i="15"/>
  <c r="F42" i="15"/>
  <c r="D42" i="15"/>
  <c r="L41" i="15"/>
  <c r="J41" i="15"/>
  <c r="L40" i="15"/>
  <c r="J40" i="15"/>
  <c r="F40" i="15"/>
  <c r="D40" i="15"/>
  <c r="L39" i="15"/>
  <c r="J39" i="15"/>
  <c r="F39" i="15"/>
  <c r="L38" i="15"/>
  <c r="J38" i="15"/>
  <c r="F38" i="15"/>
  <c r="D38" i="15"/>
  <c r="L37" i="15"/>
  <c r="J37" i="15"/>
  <c r="F37" i="15"/>
  <c r="D37" i="15"/>
  <c r="L36" i="15"/>
  <c r="J36" i="15"/>
  <c r="F36" i="15"/>
  <c r="D36" i="15"/>
  <c r="L35" i="15"/>
  <c r="J35" i="15"/>
  <c r="F35" i="15"/>
  <c r="D35" i="15"/>
  <c r="F34" i="15"/>
  <c r="L33" i="15"/>
  <c r="J33" i="15"/>
  <c r="F33" i="15"/>
  <c r="D33" i="15"/>
  <c r="L32" i="15"/>
  <c r="J32" i="15"/>
  <c r="F32" i="15"/>
  <c r="D32" i="15"/>
  <c r="L31" i="15"/>
  <c r="J31" i="15"/>
  <c r="F31" i="15"/>
  <c r="D31" i="15"/>
  <c r="L30" i="15"/>
  <c r="J30" i="15"/>
  <c r="F30" i="15"/>
  <c r="L29" i="15"/>
  <c r="J29" i="15"/>
  <c r="F29" i="15"/>
  <c r="D29" i="15"/>
  <c r="L28" i="15"/>
  <c r="J28" i="15"/>
  <c r="F28" i="15"/>
  <c r="D28" i="15"/>
  <c r="L27" i="15"/>
  <c r="J27" i="15"/>
  <c r="F27" i="15"/>
  <c r="D27" i="15"/>
  <c r="L26" i="15"/>
  <c r="J26" i="15"/>
  <c r="F26" i="15"/>
  <c r="D26" i="15"/>
  <c r="L25" i="15"/>
  <c r="J25" i="15"/>
  <c r="F25" i="15"/>
  <c r="D25" i="15"/>
  <c r="K22" i="15"/>
  <c r="L22" i="15" s="1"/>
  <c r="I22" i="15"/>
  <c r="H22" i="15"/>
  <c r="G22" i="15"/>
  <c r="E22" i="15"/>
  <c r="C22" i="15"/>
  <c r="L21" i="15"/>
  <c r="J21" i="15"/>
  <c r="F21" i="15"/>
  <c r="D21" i="15"/>
  <c r="L20" i="15"/>
  <c r="J20" i="15"/>
  <c r="F20" i="15"/>
  <c r="D20" i="15"/>
  <c r="L19" i="15"/>
  <c r="J19" i="15"/>
  <c r="F19" i="15"/>
  <c r="L18" i="15"/>
  <c r="J18" i="15"/>
  <c r="F18" i="15"/>
  <c r="D18" i="15"/>
  <c r="L17" i="15"/>
  <c r="J17" i="15"/>
  <c r="F17" i="15"/>
  <c r="D17" i="15"/>
  <c r="L16" i="15"/>
  <c r="J16" i="15"/>
  <c r="F16" i="15"/>
  <c r="D16" i="15"/>
  <c r="K13" i="15"/>
  <c r="I13" i="15"/>
  <c r="H13" i="15"/>
  <c r="G13" i="15"/>
  <c r="E13" i="15"/>
  <c r="C13" i="15"/>
  <c r="L11" i="15"/>
  <c r="J11" i="15"/>
  <c r="F11" i="15"/>
  <c r="D11" i="15"/>
  <c r="L9" i="15"/>
  <c r="F9" i="15"/>
  <c r="D9" i="15"/>
  <c r="L8" i="15"/>
  <c r="F8" i="15"/>
  <c r="D8" i="15"/>
  <c r="D22" i="15" l="1"/>
  <c r="F67" i="15"/>
  <c r="K67" i="15"/>
  <c r="L176" i="15"/>
  <c r="J176" i="15"/>
  <c r="F13" i="15"/>
  <c r="D111" i="15"/>
  <c r="D13" i="15"/>
  <c r="F22" i="15"/>
  <c r="J22" i="15"/>
  <c r="H195" i="15"/>
  <c r="G195" i="15"/>
  <c r="I111" i="15"/>
  <c r="L194" i="15"/>
  <c r="J194" i="15"/>
  <c r="E195" i="15"/>
  <c r="F194" i="15"/>
  <c r="C195" i="15"/>
  <c r="D194" i="15"/>
  <c r="L60" i="15"/>
  <c r="J60" i="15"/>
  <c r="F60" i="15"/>
  <c r="D60" i="15"/>
  <c r="J47" i="15"/>
  <c r="L47" i="15"/>
  <c r="F47" i="15"/>
  <c r="D47" i="15"/>
  <c r="L13" i="15"/>
  <c r="J13" i="15"/>
  <c r="F111" i="15" l="1"/>
  <c r="I195" i="15"/>
  <c r="F195" i="15" s="1"/>
  <c r="L67" i="15"/>
  <c r="K111" i="15"/>
  <c r="D195" i="15"/>
  <c r="K195" i="15" l="1"/>
  <c r="L111" i="15"/>
  <c r="J111" i="15"/>
  <c r="E39" i="10"/>
  <c r="E40" i="10" s="1"/>
  <c r="D39" i="10"/>
  <c r="D40" i="10" s="1"/>
  <c r="C199" i="15" l="1"/>
  <c r="C200" i="15" s="1"/>
  <c r="C201" i="15" s="1"/>
  <c r="L195" i="15"/>
  <c r="C205" i="15" l="1"/>
  <c r="C202" i="15"/>
  <c r="C203" i="15" s="1"/>
  <c r="C206" i="15" s="1"/>
  <c r="C209" i="15" s="1"/>
  <c r="C210" i="15" l="1"/>
  <c r="E215" i="15" l="1"/>
  <c r="E216" i="15" s="1"/>
  <c r="P6" i="20"/>
  <c r="P3" i="20" l="1"/>
  <c r="O3" i="20"/>
  <c r="Q6" i="20"/>
</calcChain>
</file>

<file path=xl/sharedStrings.xml><?xml version="1.0" encoding="utf-8"?>
<sst xmlns="http://schemas.openxmlformats.org/spreadsheetml/2006/main" count="1139" uniqueCount="251">
  <si>
    <t>DESPESAS BANCÁRIAS</t>
  </si>
  <si>
    <t>Previsão 2026
Mensal</t>
  </si>
  <si>
    <t>Previsão 2026
Anual</t>
  </si>
  <si>
    <t>Realizado
(Janeiro - Maio)</t>
  </si>
  <si>
    <t>Realizado
(Média Total)</t>
  </si>
  <si>
    <t>2.1.1 Tarifa de Liquidação de Boletos</t>
  </si>
  <si>
    <t>2.1.2 Tarifa de Manutenção de Conta Corrente</t>
  </si>
  <si>
    <t>DESPESAS DE CONSUMO</t>
  </si>
  <si>
    <t>2.2.1 Água e Esgoto</t>
  </si>
  <si>
    <t>2.2.2 Energia Elétrica</t>
  </si>
  <si>
    <t>DESPESAS COM PESSOAL</t>
  </si>
  <si>
    <t>2.3.1 Salário</t>
  </si>
  <si>
    <t>2.3.2 Adiantamento de Salário</t>
  </si>
  <si>
    <t>2.3.3 Vale Alimentação</t>
  </si>
  <si>
    <t>2.3.4 Vale Transporte</t>
  </si>
  <si>
    <t>2.3.5 INSS</t>
  </si>
  <si>
    <t>2.3.6 INSS 13 Salário</t>
  </si>
  <si>
    <t>2.3.7 FGTS</t>
  </si>
  <si>
    <t>2.3.8 FGTS - Multa Rescisória</t>
  </si>
  <si>
    <t>2.3.9 PIS</t>
  </si>
  <si>
    <t>2.3.10 Gratificações</t>
  </si>
  <si>
    <t>2.3.11 13 Salário</t>
  </si>
  <si>
    <t>IMPOSTOS E TAXAS</t>
  </si>
  <si>
    <t>2.4.1 IRRF</t>
  </si>
  <si>
    <t>2.4.2 Retenção INSS</t>
  </si>
  <si>
    <t>2.4.3 Retenção ISS</t>
  </si>
  <si>
    <t>2.4.4 Retenção CLSS PIS COFINS</t>
  </si>
  <si>
    <t>DESPESAS ADMINISTRATIVAS</t>
  </si>
  <si>
    <t>2.5.4 Serviço de Gestão Condominial</t>
  </si>
  <si>
    <t>2.5.5 Repasse de Taxa de Cobrança</t>
  </si>
  <si>
    <t>2.5.6 Postagem de Boleto</t>
  </si>
  <si>
    <t>2.5.7 Postagem</t>
  </si>
  <si>
    <t>2.5.20 Taxa de Encerramento do Exercício</t>
  </si>
  <si>
    <t>2.5.22 Cartório</t>
  </si>
  <si>
    <t>2.5.24 Encadernação</t>
  </si>
  <si>
    <t>2.5.30 Ressarcimento e Reembolso</t>
  </si>
  <si>
    <t>2.5.32 Certificado Digital</t>
  </si>
  <si>
    <t>2.5.33 Material de Escritório</t>
  </si>
  <si>
    <t>2.5.34 Custas Processuais</t>
  </si>
  <si>
    <t>2.5.35 Assessoria Contábil</t>
  </si>
  <si>
    <t>2.5.36 Assessoria Jurídica</t>
  </si>
  <si>
    <t>2.5.38 Honorários Advocatícios</t>
  </si>
  <si>
    <t>2.5.41 Estacionamento</t>
  </si>
  <si>
    <t>2.5.42 Confraternização Evento</t>
  </si>
  <si>
    <t>2.5.43 Aluguel de Mesa - Cadeira</t>
  </si>
  <si>
    <t>2.5.44 Despesa com Alimentação</t>
  </si>
  <si>
    <t>2.5.46 Publicação em Jornal</t>
  </si>
  <si>
    <t>2.5.49 Multas Administrativa</t>
  </si>
  <si>
    <t>2.5.52 Sindicatos e Associações</t>
  </si>
  <si>
    <t>2.5.54 Material Descartável</t>
  </si>
  <si>
    <t>2.5.57 Publicidade e Propaganda</t>
  </si>
  <si>
    <t>2.5.58 Desconto Recebido</t>
  </si>
  <si>
    <t>2.5.59 Aluguel de Veículo</t>
  </si>
  <si>
    <t>2.5.60 Despesa com Animais</t>
  </si>
  <si>
    <t>2.5.63 Empréstimo</t>
  </si>
  <si>
    <t>2.5.65 Website</t>
  </si>
  <si>
    <t>2.5.66 Aluguel de Moto</t>
  </si>
  <si>
    <t>2.5.67 Serviço de Filmagem</t>
  </si>
  <si>
    <t>2.5.71 Depósito Judicial</t>
  </si>
  <si>
    <t>2.5.72 Licença de Software</t>
  </si>
  <si>
    <t>2.5.73 Repasse Despesa de Cobrança</t>
  </si>
  <si>
    <t>2.5.74 Comissão Administração de Cobrança</t>
  </si>
  <si>
    <t>2.5.76 Despesa Evento - Festa Junina</t>
  </si>
  <si>
    <t>2.5.77 Juros</t>
  </si>
  <si>
    <t>2.5.78 Multa</t>
  </si>
  <si>
    <t>2.5.80 Despesa Evento - Festa Julina</t>
  </si>
  <si>
    <t>2.5.81 Autorização Administrativa</t>
  </si>
  <si>
    <t>2.5.82 BPO - Gestão de Pagamentos</t>
  </si>
  <si>
    <t>2.3.32 Seguro Condominial</t>
  </si>
  <si>
    <t>MATERIAIS - SERVIÇOS - MANUTENÇÕES</t>
  </si>
  <si>
    <t>2.6.1 Material de Construção Reforma - Reparo</t>
  </si>
  <si>
    <t>2.6.2 Serviço de Construção Reforma - Reparo</t>
  </si>
  <si>
    <t>2.6.3 Material Elétrico</t>
  </si>
  <si>
    <t>2.6.4 Manutenção - Instalação Elétrica</t>
  </si>
  <si>
    <t>2.6.5 Material Hidráulico</t>
  </si>
  <si>
    <t>2.6.6 Manutenção Instalação Hidráulica</t>
  </si>
  <si>
    <t>2.6.8 Material de Pintura</t>
  </si>
  <si>
    <t>2.6.9 Serviço de Pintura</t>
  </si>
  <si>
    <t>2.6.10 Material de Serralheria Metalúrgica</t>
  </si>
  <si>
    <t>2.6.11 Serviço de Serralheria Metalúrgica</t>
  </si>
  <si>
    <t>2.6.12 Material de Vidraçaria</t>
  </si>
  <si>
    <t>2.6.13 Serviço de Vidraçaria</t>
  </si>
  <si>
    <t>2.6.14 Material de Jardim</t>
  </si>
  <si>
    <t>2.6.15 Serviço de Jardinagem</t>
  </si>
  <si>
    <t>2.6.17 Material de Marcenaria</t>
  </si>
  <si>
    <t>2.6.18 Serviço de Marcenaria</t>
  </si>
  <si>
    <t>2.6.19 Arquitetura</t>
  </si>
  <si>
    <t>2.6.20 Engenharia</t>
  </si>
  <si>
    <t>2.6.22 Material para Manutenção de Porta - Portão</t>
  </si>
  <si>
    <t>2.6.30 Material de Limpeza</t>
  </si>
  <si>
    <t>2.6.31 Serviço de Limpeza</t>
  </si>
  <si>
    <t>2.6.34 Limpeza e Manutenção de Fossa</t>
  </si>
  <si>
    <t>2.6.35 Coleta de Lixo</t>
  </si>
  <si>
    <t>2.6.41 Serviço de Retirada de Entulho</t>
  </si>
  <si>
    <t>2.6.42 Material para Manutenção de Piscina</t>
  </si>
  <si>
    <t>2.6.44 Material para Dedetização</t>
  </si>
  <si>
    <t>2.6.45 Serviço de Dedetização</t>
  </si>
  <si>
    <t>2.6.46 Manutenção Instalação de Internet</t>
  </si>
  <si>
    <t>2.6.47 Material de Informática</t>
  </si>
  <si>
    <t>2.6.48 Manutenção de Informática</t>
  </si>
  <si>
    <t>2.6.49 Criação- Manutenção de Website</t>
  </si>
  <si>
    <t>2.6.50 Material para Manutenção do Sistema de Segurança</t>
  </si>
  <si>
    <t>2.6.51 Manutenção Instalação do Sistema de Segurança</t>
  </si>
  <si>
    <t>2.6.52 Serviço de Monitoramento e Segurança</t>
  </si>
  <si>
    <t>2.6.53 Material Pavimentação Terraplanagem</t>
  </si>
  <si>
    <t>2.6.54 Serviço Pavimentação Terraplanagem</t>
  </si>
  <si>
    <t>2.6.57 Material para Manutenção de Equipamento</t>
  </si>
  <si>
    <t>2.6.58 Manutenção de Máquina e Equipamento</t>
  </si>
  <si>
    <t>2.6.59 Aluguel de Máquina Equipamento</t>
  </si>
  <si>
    <t>2.6.60 Manutenção Instalação de Ar Condicionado</t>
  </si>
  <si>
    <t>2.6.64 Extintor</t>
  </si>
  <si>
    <t>2.6.65 Manutenção de Extintor</t>
  </si>
  <si>
    <t>2.6.66 Material Esportivo</t>
  </si>
  <si>
    <t>2.6.69 Material de Decoração</t>
  </si>
  <si>
    <t>2.6.71 Frete</t>
  </si>
  <si>
    <t>2.6.72 Controle Remoto</t>
  </si>
  <si>
    <t>2.6.74 Chaveiro</t>
  </si>
  <si>
    <t>2.6.75 Instalação de Película</t>
  </si>
  <si>
    <t>2.6.77 Elaboração de Projetos</t>
  </si>
  <si>
    <t>2.6.78 Análise e Laudo</t>
  </si>
  <si>
    <t>2.6.79 Gráfica</t>
  </si>
  <si>
    <t>2.6.82 Material para Veículo</t>
  </si>
  <si>
    <t>2.6.83 Manutenção em Veículo</t>
  </si>
  <si>
    <t>2.6.84 Material para Bomba</t>
  </si>
  <si>
    <t>2.6.85 Manutenção em Bomba</t>
  </si>
  <si>
    <t>2.6.89 Assessoria de Segurança</t>
  </si>
  <si>
    <t>2.6.90 Material para Filtro - Bebedouro</t>
  </si>
  <si>
    <t>2.6.91 Placa - Letreiro - Sinalização</t>
  </si>
  <si>
    <t>2.6.94 Serviço de Auditoria</t>
  </si>
  <si>
    <t>2.6.95 Serviço de Manutenção de Para-raios</t>
  </si>
  <si>
    <t>2.6.98 Garçom</t>
  </si>
  <si>
    <t>2.6.99 Material de Máquina e Equipamento</t>
  </si>
  <si>
    <t>MATERIAL PERMANENTE</t>
  </si>
  <si>
    <t>2.7.1 Máquina e Equipamento</t>
  </si>
  <si>
    <t>2.7.2 Ferramenta</t>
  </si>
  <si>
    <t>2.7.3 Móveis</t>
  </si>
  <si>
    <t>2.7.4 Utensílios</t>
  </si>
  <si>
    <t>2.7.6 Lixeira</t>
  </si>
  <si>
    <t>2.7.9 Caixa d Agua</t>
  </si>
  <si>
    <t>2.7.10 Filtro - Bebedouro</t>
  </si>
  <si>
    <t>2.7.11 Eletrodoméstico</t>
  </si>
  <si>
    <t>2.7.12 Eletroeletrônico</t>
  </si>
  <si>
    <t>2.7.13 Veículo</t>
  </si>
  <si>
    <t>2.7.15 Material para Playground</t>
  </si>
  <si>
    <t>2.7.16 Tapete Capacho</t>
  </si>
  <si>
    <t>2.7.18 Cortina Persiana</t>
  </si>
  <si>
    <t>2.7.19 Aparelho Celular</t>
  </si>
  <si>
    <t>2.7.20 Equipamento de Informática</t>
  </si>
  <si>
    <t>Total</t>
  </si>
  <si>
    <t>VALOR TOTAL GERAL</t>
  </si>
  <si>
    <t>DESCRIÇÃO</t>
  </si>
  <si>
    <t xml:space="preserve">Previsão de Gasto </t>
  </si>
  <si>
    <t>Indice de Inadimplência (1,88%)</t>
  </si>
  <si>
    <t>Total:</t>
  </si>
  <si>
    <t>Desconto de Pontualidade (10%):</t>
  </si>
  <si>
    <t>Orçamento sem Desconto (10%)</t>
  </si>
  <si>
    <t>Orçamento com Desconto (10%)</t>
  </si>
  <si>
    <t>Reajuste (%)</t>
  </si>
  <si>
    <t>Valor por unidade</t>
  </si>
  <si>
    <t>Atual</t>
  </si>
  <si>
    <t>Total com desconto (10%)</t>
  </si>
  <si>
    <t>Janeiro - Maio</t>
  </si>
  <si>
    <t>Ordinária</t>
  </si>
  <si>
    <t>Fundo de Reserva</t>
  </si>
  <si>
    <t>Extraordinária</t>
  </si>
  <si>
    <t>Doações</t>
  </si>
  <si>
    <t>Aluguel de espaços</t>
  </si>
  <si>
    <t>Ressarcimentos - Reembolsos e Multas</t>
  </si>
  <si>
    <t>Rendimentos Financeiros</t>
  </si>
  <si>
    <t>Acordos recebidos</t>
  </si>
  <si>
    <t>-</t>
  </si>
  <si>
    <t>Realizado
(Junho - Dezembro)</t>
  </si>
  <si>
    <t>Junho - Dezembro</t>
  </si>
  <si>
    <t>Patrocínio e Eventos</t>
  </si>
  <si>
    <t>Orçamento mês em dezembro 2025</t>
  </si>
  <si>
    <t>Previsão mês Orçamentária 2026</t>
  </si>
  <si>
    <t>TOTAL DESPESAS DE CONSUMO</t>
  </si>
  <si>
    <t>TOTAL DESPESAS COM PESSOAL</t>
  </si>
  <si>
    <t>TOTAL IMPOSTOS E TAXAS</t>
  </si>
  <si>
    <t>TOTAL DESPESAS ADMINISTRATIVAS</t>
  </si>
  <si>
    <t>TOTAL MATERIAIS - SERVIÇOS - MANUTENÇÕES</t>
  </si>
  <si>
    <t>TOTAL MATERIAL PERMANENTE</t>
  </si>
  <si>
    <t>2.5.39 Combustível / Lubrificante</t>
  </si>
  <si>
    <t>2023 x 2024</t>
  </si>
  <si>
    <t>% Reajuste 2025 x Previsão 2026</t>
  </si>
  <si>
    <t xml:space="preserve">% Reajuste 2024 x 2025
</t>
  </si>
  <si>
    <t xml:space="preserve">% Reajuste 2023 x 2024
</t>
  </si>
  <si>
    <t>Taxa Ordinária sem desconto pontualidade</t>
  </si>
  <si>
    <t xml:space="preserve">Resumo Receitas </t>
  </si>
  <si>
    <t xml:space="preserve">Total Receitas  2025 </t>
  </si>
  <si>
    <t>Total Despesas  2025</t>
  </si>
  <si>
    <t>Despesas Realizadas</t>
  </si>
  <si>
    <t>Taxa ordinária vigente</t>
  </si>
  <si>
    <t>Valor necessário para as despesas realizadas</t>
  </si>
  <si>
    <t>defasagem</t>
  </si>
  <si>
    <t xml:space="preserve"> -</t>
  </si>
  <si>
    <t>% defasagem</t>
  </si>
  <si>
    <t>TOTAL DESPESAS BANCÁRIAS</t>
  </si>
  <si>
    <t>2.3.12 Férias</t>
  </si>
  <si>
    <t>2.1.3 Tarifa de Extrato</t>
  </si>
  <si>
    <t>2.1.4 Tarifa Transferência</t>
  </si>
  <si>
    <t>2.1.5 Tarifa Folha de Pagamento</t>
  </si>
  <si>
    <t>2.2.3 Telefonia - Internet</t>
  </si>
  <si>
    <t>2.2.4 Internet</t>
  </si>
  <si>
    <t>2.2.5 Gás</t>
  </si>
  <si>
    <t>2.2.6 Iluminação Pública</t>
  </si>
  <si>
    <t>2.4.5 IPTU - TLP</t>
  </si>
  <si>
    <t>2.4.6 Taxa de Licença de Obra</t>
  </si>
  <si>
    <t>2.4.7 IPVA</t>
  </si>
  <si>
    <t>2.4.8 Taxa de Fiscalização</t>
  </si>
  <si>
    <t>2.4.9 Seguro Obrigatório de Veículo</t>
  </si>
  <si>
    <t>2.4.10 Taxa de Licenciamento de Veículo</t>
  </si>
  <si>
    <t>2.3.13 Uniformes</t>
  </si>
  <si>
    <t>2.3.14 Rescisão de Contrato de Trabalho</t>
  </si>
  <si>
    <t xml:space="preserve">2.3.15 Atestado de Saúde </t>
  </si>
  <si>
    <t>2.3.16 EPI - Equipamento de Proteção Individual</t>
  </si>
  <si>
    <t>2.3.17  Cursos e Palestras</t>
  </si>
  <si>
    <t>2.3.18 Despesa Médica</t>
  </si>
  <si>
    <t>2.3.19 Despesa Odontológica</t>
  </si>
  <si>
    <t>2.3.20 Seguro de Vida</t>
  </si>
  <si>
    <t>2.3.21 Aluguel de Moto</t>
  </si>
  <si>
    <t>2.3.22 PIS - 13 Salário</t>
  </si>
  <si>
    <t>2.5.1 Síndico</t>
  </si>
  <si>
    <t>2.5.2 Diretor Financeiro</t>
  </si>
  <si>
    <t>2.5.3 Diretor Administrativo</t>
  </si>
  <si>
    <t>2.5.8 Cópia Impressão</t>
  </si>
  <si>
    <t>2.5.9 Despesa com Assembleia</t>
  </si>
  <si>
    <t>2.5.10 Despesa com Reunião</t>
  </si>
  <si>
    <t>valor mês</t>
  </si>
  <si>
    <t>Total mês</t>
  </si>
  <si>
    <t>Valor mês</t>
  </si>
  <si>
    <t>Condicionantes LI</t>
  </si>
  <si>
    <t>PEA</t>
  </si>
  <si>
    <t>Time ambiental</t>
  </si>
  <si>
    <t>por unidade mês</t>
  </si>
  <si>
    <t>PREVISÃO ORÇAMENTÁRIA - RETIRANDO LICENÇA DE INSTALAÇÃO CORRETIVA</t>
  </si>
  <si>
    <t>Reajuste com desconto pontualidade</t>
  </si>
  <si>
    <t>sem corte profissional</t>
  </si>
  <si>
    <t>corte de 3 profissionais</t>
  </si>
  <si>
    <t>corete de 13 profissionais</t>
  </si>
  <si>
    <t xml:space="preserve">R$ </t>
  </si>
  <si>
    <t>Taxa ordinária atual</t>
  </si>
  <si>
    <t>Proposta de correção</t>
  </si>
  <si>
    <t>Novo valor com desconto de pontualidade</t>
  </si>
  <si>
    <t>Reajuste (19,74%)</t>
  </si>
  <si>
    <t>Receita inadimplencia</t>
  </si>
  <si>
    <t>Média arrecadação mês com inadimplencia antigas</t>
  </si>
  <si>
    <t>Material didático PEA</t>
  </si>
  <si>
    <t>Total mês (5)</t>
  </si>
  <si>
    <t xml:space="preserve">Time Ambiental - Licença Instalação  corretiva - cumprimento condicionantes </t>
  </si>
  <si>
    <t>MENOR ORÇAMENTO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</si>
</sst>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0.0%"/>
    <numFmt numFmtId="166" formatCode="_-&quot;R$&quot;\ * #,##0.00_-;\-&quot;R$&quot;\ * #,##0.00_-;_-&quot;R$&quot;\ * &quot;-&quot;??_-;_-@"/>
    <numFmt numFmtId="167" formatCode="[$R$ -416]#,##0.00"/>
  </numFmts>
  <fonts count="34" x14ac:knownFonts="1">
    <font>
      <sz val="10"/>
      <color rgb="FF000000"/>
      <name val="Open Sans"/>
      <scheme val="minor"/>
    </font>
    <font>
      <sz val="10"/>
      <color rgb="FF000000"/>
      <name val="Open Sans"/>
      <family val="2"/>
    </font>
    <font>
      <sz val="10"/>
      <name val="Open Sans"/>
      <family val="2"/>
    </font>
    <font>
      <b/>
      <sz val="10"/>
      <color rgb="FF000000"/>
      <name val="Open Sans"/>
      <family val="2"/>
    </font>
    <font>
      <sz val="8"/>
      <color rgb="FF000000"/>
      <name val="Open Sans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Open Sans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Open Sans"/>
      <family val="2"/>
    </font>
    <font>
      <b/>
      <sz val="10"/>
      <color theme="1"/>
      <name val="Arial"/>
      <family val="2"/>
    </font>
    <font>
      <sz val="10"/>
      <color rgb="FF000000"/>
      <name val="Open Sans"/>
      <family val="2"/>
      <scheme val="minor"/>
    </font>
    <font>
      <b/>
      <sz val="12"/>
      <color rgb="FF000000"/>
      <name val="Open Sans"/>
      <family val="2"/>
      <scheme val="minor"/>
    </font>
    <font>
      <sz val="11"/>
      <color rgb="FF002060"/>
      <name val="Arial"/>
      <family val="2"/>
    </font>
    <font>
      <b/>
      <sz val="11"/>
      <color rgb="FF002060"/>
      <name val="Open Sans"/>
      <family val="2"/>
    </font>
    <font>
      <b/>
      <sz val="11"/>
      <color rgb="FF002060"/>
      <name val="Arial"/>
      <family val="2"/>
    </font>
    <font>
      <b/>
      <sz val="12"/>
      <color rgb="FF002060"/>
      <name val="Open Sans"/>
      <family val="2"/>
      <scheme val="minor"/>
    </font>
    <font>
      <sz val="10"/>
      <color rgb="FF000000"/>
      <name val="Open Sans"/>
      <family val="2"/>
      <scheme val="minor"/>
    </font>
    <font>
      <b/>
      <sz val="10"/>
      <color rgb="FF000000"/>
      <name val="Open Sans"/>
      <family val="2"/>
      <scheme val="minor"/>
    </font>
    <font>
      <sz val="10"/>
      <color rgb="FF002060"/>
      <name val="Open Sans"/>
      <family val="2"/>
    </font>
    <font>
      <sz val="10"/>
      <color rgb="FF002060"/>
      <name val="Open Sans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Open Sans"/>
      <family val="2"/>
    </font>
    <font>
      <b/>
      <sz val="10"/>
      <color rgb="FF000000"/>
      <name val="Open Sans"/>
      <family val="2"/>
      <scheme val="minor"/>
    </font>
    <font>
      <b/>
      <sz val="21"/>
      <color rgb="FF000000"/>
      <name val="Open Sans"/>
      <family val="2"/>
    </font>
    <font>
      <b/>
      <sz val="10"/>
      <color rgb="FFFF0000"/>
      <name val="Open Sans"/>
      <family val="2"/>
      <scheme val="minor"/>
    </font>
    <font>
      <b/>
      <sz val="10"/>
      <color rgb="FF002060"/>
      <name val="Open Sans"/>
      <family val="2"/>
      <scheme val="minor"/>
    </font>
    <font>
      <b/>
      <sz val="8"/>
      <color rgb="FF000000"/>
      <name val="Open Sans"/>
      <family val="2"/>
      <scheme val="minor"/>
    </font>
    <font>
      <b/>
      <sz val="11"/>
      <color rgb="FF002060"/>
      <name val="Open Sans"/>
      <family val="2"/>
      <scheme val="minor"/>
    </font>
    <font>
      <sz val="8"/>
      <color rgb="FF000000"/>
      <name val="Open Sans"/>
      <family val="2"/>
      <scheme val="minor"/>
    </font>
    <font>
      <sz val="12"/>
      <color rgb="FF000000"/>
      <name val="Open Sans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595959"/>
        <bgColor rgb="FF595959"/>
      </patternFill>
    </fill>
    <fill>
      <patternFill patternType="solid">
        <fgColor rgb="FFCFE2F3"/>
        <bgColor rgb="FFCFE2F3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D9EA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rgb="FF59595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rgb="FF59595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14999847407452621"/>
        <bgColor rgb="FF7F7F7F"/>
      </patternFill>
    </fill>
    <fill>
      <patternFill patternType="solid">
        <fgColor theme="2" tint="-0.14999847407452621"/>
        <bgColor rgb="FFCFE2F3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5B5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CFE2F3"/>
      </patternFill>
    </fill>
  </fills>
  <borders count="5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4" fillId="0" borderId="10"/>
    <xf numFmtId="44" fontId="20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6" fontId="8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1" fillId="0" borderId="0" xfId="0" applyNumberFormat="1" applyFont="1"/>
    <xf numFmtId="0" fontId="12" fillId="0" borderId="0" xfId="0" applyFont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8" fillId="5" borderId="26" xfId="0" applyFont="1" applyFill="1" applyBorder="1" applyAlignment="1">
      <alignment horizontal="left" vertical="center"/>
    </xf>
    <xf numFmtId="164" fontId="8" fillId="0" borderId="26" xfId="0" applyNumberFormat="1" applyFont="1" applyBorder="1" applyAlignment="1">
      <alignment horizontal="center" vertical="center"/>
    </xf>
    <xf numFmtId="9" fontId="1" fillId="0" borderId="26" xfId="0" applyNumberFormat="1" applyFont="1" applyBorder="1" applyAlignment="1">
      <alignment horizontal="center" vertical="center"/>
    </xf>
    <xf numFmtId="164" fontId="1" fillId="3" borderId="26" xfId="0" applyNumberFormat="1" applyFont="1" applyFill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166" fontId="8" fillId="0" borderId="28" xfId="0" applyNumberFormat="1" applyFont="1" applyBorder="1" applyAlignment="1">
      <alignment horizontal="center" vertical="center"/>
    </xf>
    <xf numFmtId="166" fontId="8" fillId="0" borderId="29" xfId="0" applyNumberFormat="1" applyFont="1" applyBorder="1" applyAlignment="1">
      <alignment horizontal="center" vertical="center"/>
    </xf>
    <xf numFmtId="166" fontId="8" fillId="0" borderId="24" xfId="0" applyNumberFormat="1" applyFont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166" fontId="8" fillId="0" borderId="18" xfId="0" applyNumberFormat="1" applyFont="1" applyBorder="1" applyAlignment="1">
      <alignment horizontal="center" vertical="center"/>
    </xf>
    <xf numFmtId="166" fontId="8" fillId="0" borderId="16" xfId="0" applyNumberFormat="1" applyFont="1" applyBorder="1" applyAlignment="1">
      <alignment horizontal="center" vertical="center"/>
    </xf>
    <xf numFmtId="10" fontId="7" fillId="3" borderId="16" xfId="0" applyNumberFormat="1" applyFont="1" applyFill="1" applyBorder="1" applyAlignment="1">
      <alignment horizontal="right" vertical="center"/>
    </xf>
    <xf numFmtId="44" fontId="0" fillId="0" borderId="0" xfId="0" applyNumberFormat="1"/>
    <xf numFmtId="0" fontId="7" fillId="0" borderId="32" xfId="0" applyFont="1" applyBorder="1" applyAlignment="1">
      <alignment horizontal="right" vertical="center"/>
    </xf>
    <xf numFmtId="0" fontId="7" fillId="3" borderId="34" xfId="0" applyFont="1" applyFill="1" applyBorder="1" applyAlignment="1">
      <alignment horizontal="right" vertical="center"/>
    </xf>
    <xf numFmtId="0" fontId="13" fillId="6" borderId="17" xfId="0" applyFont="1" applyFill="1" applyBorder="1" applyAlignment="1">
      <alignment horizontal="right" vertical="center"/>
    </xf>
    <xf numFmtId="0" fontId="13" fillId="6" borderId="7" xfId="0" applyFont="1" applyFill="1" applyBorder="1" applyAlignment="1">
      <alignment horizontal="right" vertical="center"/>
    </xf>
    <xf numFmtId="0" fontId="6" fillId="4" borderId="30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0" fontId="7" fillId="0" borderId="34" xfId="0" applyFont="1" applyBorder="1" applyAlignment="1">
      <alignment horizontal="right" vertical="center"/>
    </xf>
    <xf numFmtId="0" fontId="7" fillId="0" borderId="35" xfId="0" applyFont="1" applyBorder="1" applyAlignment="1">
      <alignment horizontal="right" vertical="center"/>
    </xf>
    <xf numFmtId="0" fontId="7" fillId="7" borderId="37" xfId="0" applyFont="1" applyFill="1" applyBorder="1" applyAlignment="1">
      <alignment horizontal="center" vertical="center" wrapText="1"/>
    </xf>
    <xf numFmtId="0" fontId="7" fillId="7" borderId="38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right" vertical="center" wrapText="1"/>
    </xf>
    <xf numFmtId="8" fontId="8" fillId="0" borderId="38" xfId="0" applyNumberFormat="1" applyFont="1" applyBorder="1" applyAlignment="1">
      <alignment horizontal="center" vertical="center" wrapText="1"/>
    </xf>
    <xf numFmtId="8" fontId="1" fillId="0" borderId="0" xfId="0" applyNumberFormat="1" applyFont="1" applyAlignment="1">
      <alignment horizontal="right" vertical="center"/>
    </xf>
    <xf numFmtId="0" fontId="8" fillId="0" borderId="26" xfId="0" applyFont="1" applyBorder="1" applyAlignment="1">
      <alignment horizontal="left" vertical="center"/>
    </xf>
    <xf numFmtId="8" fontId="0" fillId="0" borderId="0" xfId="0" applyNumberFormat="1"/>
    <xf numFmtId="0" fontId="7" fillId="7" borderId="26" xfId="0" applyFont="1" applyFill="1" applyBorder="1" applyAlignment="1">
      <alignment horizontal="right" vertical="center" wrapText="1"/>
    </xf>
    <xf numFmtId="8" fontId="1" fillId="0" borderId="26" xfId="0" applyNumberFormat="1" applyFont="1" applyBorder="1" applyAlignment="1">
      <alignment horizontal="right" vertical="center"/>
    </xf>
    <xf numFmtId="8" fontId="8" fillId="0" borderId="10" xfId="0" applyNumberFormat="1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44" fontId="0" fillId="0" borderId="0" xfId="3" applyFont="1"/>
    <xf numFmtId="0" fontId="0" fillId="0" borderId="0" xfId="0" applyAlignment="1">
      <alignment vertical="center"/>
    </xf>
    <xf numFmtId="0" fontId="0" fillId="0" borderId="26" xfId="0" applyBorder="1" applyAlignment="1">
      <alignment vertical="center"/>
    </xf>
    <xf numFmtId="0" fontId="10" fillId="0" borderId="26" xfId="0" applyFont="1" applyBorder="1" applyAlignment="1">
      <alignment horizontal="left" vertical="center"/>
    </xf>
    <xf numFmtId="164" fontId="10" fillId="0" borderId="26" xfId="0" applyNumberFormat="1" applyFont="1" applyBorder="1" applyAlignment="1">
      <alignment horizontal="center" vertical="center"/>
    </xf>
    <xf numFmtId="10" fontId="10" fillId="0" borderId="26" xfId="1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23" fillId="0" borderId="0" xfId="0" applyFont="1"/>
    <xf numFmtId="164" fontId="22" fillId="3" borderId="26" xfId="0" applyNumberFormat="1" applyFont="1" applyFill="1" applyBorder="1" applyAlignment="1">
      <alignment horizontal="center" vertical="center"/>
    </xf>
    <xf numFmtId="164" fontId="22" fillId="3" borderId="26" xfId="2" applyNumberFormat="1" applyFont="1" applyFill="1" applyBorder="1" applyAlignment="1">
      <alignment horizontal="center" vertical="center"/>
    </xf>
    <xf numFmtId="9" fontId="22" fillId="0" borderId="26" xfId="0" applyNumberFormat="1" applyFont="1" applyBorder="1" applyAlignment="1">
      <alignment horizontal="center" vertical="center"/>
    </xf>
    <xf numFmtId="10" fontId="16" fillId="0" borderId="26" xfId="1" applyNumberFormat="1" applyFont="1" applyFill="1" applyBorder="1" applyAlignment="1">
      <alignment horizontal="center" vertical="center"/>
    </xf>
    <xf numFmtId="164" fontId="22" fillId="0" borderId="26" xfId="0" applyNumberFormat="1" applyFont="1" applyBorder="1" applyAlignment="1">
      <alignment horizontal="center" vertical="center"/>
    </xf>
    <xf numFmtId="0" fontId="24" fillId="14" borderId="12" xfId="0" applyFont="1" applyFill="1" applyBorder="1" applyAlignment="1">
      <alignment horizontal="center" vertical="center"/>
    </xf>
    <xf numFmtId="164" fontId="25" fillId="14" borderId="8" xfId="0" applyNumberFormat="1" applyFont="1" applyFill="1" applyBorder="1" applyAlignment="1">
      <alignment horizontal="center" vertical="center"/>
    </xf>
    <xf numFmtId="10" fontId="25" fillId="14" borderId="9" xfId="1" applyNumberFormat="1" applyFont="1" applyFill="1" applyBorder="1" applyAlignment="1">
      <alignment horizontal="center" vertical="center"/>
    </xf>
    <xf numFmtId="164" fontId="17" fillId="15" borderId="8" xfId="0" applyNumberFormat="1" applyFont="1" applyFill="1" applyBorder="1" applyAlignment="1">
      <alignment horizontal="center" vertical="center"/>
    </xf>
    <xf numFmtId="164" fontId="17" fillId="14" borderId="13" xfId="0" applyNumberFormat="1" applyFont="1" applyFill="1" applyBorder="1" applyAlignment="1">
      <alignment horizontal="center" vertical="center"/>
    </xf>
    <xf numFmtId="10" fontId="17" fillId="14" borderId="9" xfId="1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left" vertical="center"/>
    </xf>
    <xf numFmtId="0" fontId="26" fillId="0" borderId="0" xfId="0" applyFont="1"/>
    <xf numFmtId="0" fontId="14" fillId="0" borderId="0" xfId="0" applyFont="1"/>
    <xf numFmtId="0" fontId="7" fillId="17" borderId="31" xfId="0" applyFont="1" applyFill="1" applyBorder="1" applyAlignment="1">
      <alignment horizontal="right" vertical="center"/>
    </xf>
    <xf numFmtId="166" fontId="8" fillId="17" borderId="36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7" fillId="7" borderId="12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0" fillId="0" borderId="43" xfId="0" applyBorder="1" applyAlignment="1">
      <alignment vertical="center" wrapText="1"/>
    </xf>
    <xf numFmtId="8" fontId="8" fillId="0" borderId="26" xfId="0" applyNumberFormat="1" applyFont="1" applyBorder="1" applyAlignment="1">
      <alignment horizontal="center" vertical="center" wrapText="1"/>
    </xf>
    <xf numFmtId="0" fontId="7" fillId="7" borderId="40" xfId="0" applyFont="1" applyFill="1" applyBorder="1" applyAlignment="1">
      <alignment horizontal="right" vertical="center" wrapText="1"/>
    </xf>
    <xf numFmtId="0" fontId="7" fillId="8" borderId="40" xfId="0" applyFont="1" applyFill="1" applyBorder="1" applyAlignment="1">
      <alignment horizontal="right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8" fontId="28" fillId="18" borderId="41" xfId="0" applyNumberFormat="1" applyFont="1" applyFill="1" applyBorder="1" applyAlignment="1">
      <alignment horizontal="center"/>
    </xf>
    <xf numFmtId="165" fontId="29" fillId="19" borderId="26" xfId="1" applyNumberFormat="1" applyFont="1" applyFill="1" applyBorder="1" applyAlignment="1">
      <alignment horizontal="center"/>
    </xf>
    <xf numFmtId="0" fontId="0" fillId="8" borderId="0" xfId="0" applyFill="1"/>
    <xf numFmtId="164" fontId="0" fillId="0" borderId="0" xfId="0" applyNumberFormat="1"/>
    <xf numFmtId="10" fontId="10" fillId="0" borderId="26" xfId="1" applyNumberFormat="1" applyFont="1" applyFill="1" applyBorder="1" applyAlignment="1">
      <alignment horizontal="center" vertical="center"/>
    </xf>
    <xf numFmtId="164" fontId="8" fillId="20" borderId="26" xfId="0" applyNumberFormat="1" applyFont="1" applyFill="1" applyBorder="1" applyAlignment="1">
      <alignment horizontal="center" vertical="center"/>
    </xf>
    <xf numFmtId="10" fontId="10" fillId="20" borderId="26" xfId="1" applyNumberFormat="1" applyFont="1" applyFill="1" applyBorder="1" applyAlignment="1">
      <alignment horizontal="center" vertical="center"/>
    </xf>
    <xf numFmtId="9" fontId="22" fillId="20" borderId="26" xfId="0" applyNumberFormat="1" applyFont="1" applyFill="1" applyBorder="1" applyAlignment="1">
      <alignment horizontal="center" vertical="center"/>
    </xf>
    <xf numFmtId="164" fontId="1" fillId="20" borderId="26" xfId="0" applyNumberFormat="1" applyFont="1" applyFill="1" applyBorder="1" applyAlignment="1">
      <alignment horizontal="center" vertical="center"/>
    </xf>
    <xf numFmtId="0" fontId="8" fillId="20" borderId="26" xfId="0" applyFont="1" applyFill="1" applyBorder="1" applyAlignment="1">
      <alignment horizontal="left" vertical="center"/>
    </xf>
    <xf numFmtId="164" fontId="22" fillId="21" borderId="26" xfId="0" applyNumberFormat="1" applyFont="1" applyFill="1" applyBorder="1" applyAlignment="1">
      <alignment horizontal="center" vertical="center"/>
    </xf>
    <xf numFmtId="0" fontId="21" fillId="0" borderId="0" xfId="0" applyFont="1"/>
    <xf numFmtId="0" fontId="30" fillId="0" borderId="0" xfId="0" applyFont="1" applyAlignment="1">
      <alignment horizontal="center"/>
    </xf>
    <xf numFmtId="0" fontId="21" fillId="8" borderId="0" xfId="0" applyFont="1" applyFill="1"/>
    <xf numFmtId="44" fontId="15" fillId="8" borderId="0" xfId="0" applyNumberFormat="1" applyFont="1" applyFill="1"/>
    <xf numFmtId="44" fontId="29" fillId="0" borderId="0" xfId="3" applyFont="1"/>
    <xf numFmtId="0" fontId="30" fillId="0" borderId="0" xfId="0" applyFont="1"/>
    <xf numFmtId="44" fontId="31" fillId="0" borderId="0" xfId="0" applyNumberFormat="1" applyFont="1"/>
    <xf numFmtId="0" fontId="32" fillId="0" borderId="0" xfId="0" applyFont="1"/>
    <xf numFmtId="0" fontId="30" fillId="0" borderId="26" xfId="0" applyFont="1" applyBorder="1"/>
    <xf numFmtId="44" fontId="0" fillId="8" borderId="0" xfId="0" applyNumberFormat="1" applyFill="1"/>
    <xf numFmtId="164" fontId="23" fillId="0" borderId="0" xfId="0" applyNumberFormat="1" applyFont="1"/>
    <xf numFmtId="165" fontId="0" fillId="0" borderId="0" xfId="1" applyNumberFormat="1" applyFont="1"/>
    <xf numFmtId="165" fontId="21" fillId="0" borderId="0" xfId="1" applyNumberFormat="1" applyFont="1"/>
    <xf numFmtId="8" fontId="14" fillId="0" borderId="0" xfId="0" applyNumberFormat="1" applyFont="1"/>
    <xf numFmtId="166" fontId="3" fillId="0" borderId="0" xfId="0" applyNumberFormat="1" applyFont="1"/>
    <xf numFmtId="8" fontId="8" fillId="0" borderId="44" xfId="0" applyNumberFormat="1" applyFont="1" applyBorder="1" applyAlignment="1">
      <alignment horizontal="center" vertical="center" wrapText="1"/>
    </xf>
    <xf numFmtId="10" fontId="21" fillId="0" borderId="26" xfId="1" applyNumberFormat="1" applyFont="1" applyBorder="1"/>
    <xf numFmtId="8" fontId="0" fillId="0" borderId="26" xfId="0" applyNumberFormat="1" applyBorder="1"/>
    <xf numFmtId="166" fontId="1" fillId="0" borderId="26" xfId="0" applyNumberFormat="1" applyFont="1" applyBorder="1"/>
    <xf numFmtId="0" fontId="7" fillId="7" borderId="45" xfId="0" applyFont="1" applyFill="1" applyBorder="1" applyAlignment="1">
      <alignment horizontal="center" vertical="center" wrapText="1"/>
    </xf>
    <xf numFmtId="8" fontId="1" fillId="0" borderId="40" xfId="0" applyNumberFormat="1" applyFont="1" applyBorder="1" applyAlignment="1">
      <alignment horizontal="right" vertical="center"/>
    </xf>
    <xf numFmtId="8" fontId="14" fillId="0" borderId="40" xfId="0" applyNumberFormat="1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10" xfId="0" applyBorder="1"/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8" fontId="1" fillId="0" borderId="48" xfId="0" applyNumberFormat="1" applyFont="1" applyBorder="1" applyAlignment="1">
      <alignment horizontal="right" vertical="center"/>
    </xf>
    <xf numFmtId="8" fontId="28" fillId="18" borderId="49" xfId="0" applyNumberFormat="1" applyFont="1" applyFill="1" applyBorder="1" applyAlignment="1">
      <alignment horizontal="center"/>
    </xf>
    <xf numFmtId="165" fontId="29" fillId="19" borderId="48" xfId="1" applyNumberFormat="1" applyFont="1" applyFill="1" applyBorder="1" applyAlignment="1">
      <alignment horizontal="center"/>
    </xf>
    <xf numFmtId="8" fontId="7" fillId="8" borderId="50" xfId="0" applyNumberFormat="1" applyFont="1" applyFill="1" applyBorder="1" applyAlignment="1">
      <alignment horizontal="center" vertical="center" wrapText="1"/>
    </xf>
    <xf numFmtId="8" fontId="7" fillId="8" borderId="51" xfId="0" applyNumberFormat="1" applyFont="1" applyFill="1" applyBorder="1" applyAlignment="1">
      <alignment horizontal="center" vertical="center" wrapText="1"/>
    </xf>
    <xf numFmtId="0" fontId="3" fillId="8" borderId="42" xfId="0" applyFont="1" applyFill="1" applyBorder="1" applyAlignment="1">
      <alignment horizontal="left" vertical="center"/>
    </xf>
    <xf numFmtId="0" fontId="15" fillId="0" borderId="0" xfId="0" applyFont="1"/>
    <xf numFmtId="8" fontId="8" fillId="0" borderId="52" xfId="0" applyNumberFormat="1" applyFont="1" applyBorder="1" applyAlignment="1">
      <alignment horizontal="center" vertical="center" wrapText="1"/>
    </xf>
    <xf numFmtId="0" fontId="14" fillId="0" borderId="26" xfId="0" applyFont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10" fontId="21" fillId="0" borderId="26" xfId="1" applyNumberFormat="1" applyFont="1" applyBorder="1" applyAlignment="1">
      <alignment vertical="center"/>
    </xf>
    <xf numFmtId="8" fontId="0" fillId="0" borderId="26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21" fillId="9" borderId="26" xfId="0" applyFont="1" applyFill="1" applyBorder="1" applyAlignment="1">
      <alignment horizontal="center"/>
    </xf>
    <xf numFmtId="10" fontId="29" fillId="9" borderId="26" xfId="0" applyNumberFormat="1" applyFont="1" applyFill="1" applyBorder="1" applyAlignment="1">
      <alignment horizontal="center"/>
    </xf>
    <xf numFmtId="10" fontId="21" fillId="9" borderId="26" xfId="0" applyNumberFormat="1" applyFont="1" applyFill="1" applyBorder="1" applyAlignment="1">
      <alignment horizontal="center"/>
    </xf>
    <xf numFmtId="0" fontId="33" fillId="0" borderId="0" xfId="0" applyFont="1"/>
    <xf numFmtId="0" fontId="19" fillId="0" borderId="26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 wrapText="1"/>
    </xf>
    <xf numFmtId="0" fontId="18" fillId="15" borderId="26" xfId="0" applyFont="1" applyFill="1" applyBorder="1" applyAlignment="1">
      <alignment horizontal="center" vertical="center" wrapText="1"/>
    </xf>
    <xf numFmtId="0" fontId="22" fillId="16" borderId="26" xfId="0" applyFont="1" applyFill="1" applyBorder="1" applyAlignment="1">
      <alignment wrapText="1"/>
    </xf>
    <xf numFmtId="0" fontId="18" fillId="3" borderId="26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5" fillId="2" borderId="6" xfId="0" applyFont="1" applyFill="1" applyBorder="1" applyAlignment="1">
      <alignment horizontal="center" vertical="center"/>
    </xf>
    <xf numFmtId="0" fontId="2" fillId="0" borderId="25" xfId="0" applyFont="1" applyBorder="1"/>
    <xf numFmtId="0" fontId="5" fillId="10" borderId="6" xfId="0" applyFont="1" applyFill="1" applyBorder="1" applyAlignment="1">
      <alignment horizontal="center" vertical="center" wrapText="1"/>
    </xf>
    <xf numFmtId="0" fontId="2" fillId="11" borderId="25" xfId="0" applyFont="1" applyFill="1" applyBorder="1"/>
    <xf numFmtId="0" fontId="5" fillId="2" borderId="5" xfId="0" applyFont="1" applyFill="1" applyBorder="1" applyAlignment="1">
      <alignment horizontal="center" vertical="center"/>
    </xf>
    <xf numFmtId="0" fontId="2" fillId="0" borderId="11" xfId="0" applyFont="1" applyBorder="1"/>
    <xf numFmtId="0" fontId="5" fillId="2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14" xfId="0" applyFont="1" applyBorder="1"/>
    <xf numFmtId="0" fontId="18" fillId="12" borderId="26" xfId="0" applyFont="1" applyFill="1" applyBorder="1" applyAlignment="1">
      <alignment horizontal="center" vertical="center" wrapText="1"/>
    </xf>
    <xf numFmtId="0" fontId="22" fillId="13" borderId="26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167" fontId="11" fillId="0" borderId="17" xfId="0" applyNumberFormat="1" applyFont="1" applyBorder="1" applyAlignment="1">
      <alignment horizontal="center" vertical="center"/>
    </xf>
    <xf numFmtId="0" fontId="2" fillId="0" borderId="19" xfId="0" applyFont="1" applyBorder="1"/>
    <xf numFmtId="167" fontId="11" fillId="0" borderId="20" xfId="0" applyNumberFormat="1" applyFont="1" applyBorder="1" applyAlignment="1">
      <alignment horizontal="center" vertical="center"/>
    </xf>
    <xf numFmtId="0" fontId="2" fillId="0" borderId="18" xfId="0" applyFont="1" applyBorder="1"/>
    <xf numFmtId="167" fontId="11" fillId="0" borderId="21" xfId="0" applyNumberFormat="1" applyFont="1" applyBorder="1" applyAlignment="1">
      <alignment horizontal="center" vertical="center"/>
    </xf>
    <xf numFmtId="0" fontId="2" fillId="0" borderId="22" xfId="0" applyFont="1" applyBorder="1"/>
    <xf numFmtId="167" fontId="11" fillId="0" borderId="23" xfId="0" applyNumberFormat="1" applyFont="1" applyBorder="1" applyAlignment="1">
      <alignment horizontal="center" vertical="center"/>
    </xf>
    <xf numFmtId="0" fontId="2" fillId="0" borderId="24" xfId="0" applyFont="1" applyBorder="1"/>
    <xf numFmtId="0" fontId="21" fillId="0" borderId="26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</cellXfs>
  <cellStyles count="4">
    <cellStyle name="Moeda" xfId="3" builtinId="4"/>
    <cellStyle name="Normal" xfId="0" builtinId="0"/>
    <cellStyle name="Normal 2" xfId="2" xr:uid="{AEE0EE7E-DF0A-4168-B4DB-6039C20FEFCA}"/>
    <cellStyle name="Porcentagem" xfId="1" builtinId="5"/>
  </cellStyles>
  <dxfs count="0"/>
  <tableStyles count="0" defaultTableStyle="TableStyleMedium2" defaultPivotStyle="PivotStyleLight16"/>
  <colors>
    <mruColors>
      <color rgb="FFFF5B5B"/>
      <color rgb="FFF684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Taxa ordinária</a:t>
            </a:r>
            <a:r>
              <a:rPr lang="pt-BR" baseline="0"/>
              <a:t> (com desconto pontualidade)</a:t>
            </a:r>
            <a:endParaRPr lang="pt-BR"/>
          </a:p>
        </c:rich>
      </c:tx>
      <c:layout>
        <c:manualLayout>
          <c:xMode val="edge"/>
          <c:yMode val="edge"/>
          <c:x val="0.19962473427795266"/>
          <c:y val="1.85830429732868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Resumo!$I$8</c:f>
              <c:strCache>
                <c:ptCount val="1"/>
                <c:pt idx="0">
                  <c:v>Taxa ordinária atual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Resumo!$J$7:$L$7</c:f>
              <c:strCache>
                <c:ptCount val="3"/>
                <c:pt idx="0">
                  <c:v>Atual</c:v>
                </c:pt>
                <c:pt idx="1">
                  <c:v>15,98%</c:v>
                </c:pt>
                <c:pt idx="2">
                  <c:v>19,74%</c:v>
                </c:pt>
              </c:strCache>
            </c:strRef>
          </c:cat>
          <c:val>
            <c:numRef>
              <c:f>Resumo!$J$8:$L$8</c:f>
              <c:numCache>
                <c:formatCode>General</c:formatCode>
                <c:ptCount val="3"/>
                <c:pt idx="0">
                  <c:v>528.58000000000004</c:v>
                </c:pt>
                <c:pt idx="1">
                  <c:v>528.58000000000004</c:v>
                </c:pt>
                <c:pt idx="2">
                  <c:v>528.58000000000004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2-438F-A833-1BB7ED2AFB44}"/>
            </c:ext>
          </c:extLst>
        </c:ser>
        <c:ser>
          <c:idx val="1"/>
          <c:order val="1"/>
          <c:tx>
            <c:strRef>
              <c:f>Resumo!$I$9</c:f>
              <c:strCache>
                <c:ptCount val="1"/>
                <c:pt idx="0">
                  <c:v>Proposta de correção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5578713352786137E-3"/>
                  <c:y val="9.29152148664335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2-438F-A833-1BB7ED2AFB44}"/>
                </c:ext>
              </c:extLst>
            </c:dLbl>
            <c:dLbl>
              <c:idx val="1"/>
              <c:layout>
                <c:manualLayout>
                  <c:x val="0"/>
                  <c:y val="9.29152148664343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D2-438F-A833-1BB7ED2AFB44}"/>
                </c:ext>
              </c:extLst>
            </c:dLbl>
            <c:spPr>
              <a:solidFill>
                <a:schemeClr val="accent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Resumo!$J$7:$L$7</c:f>
              <c:strCache>
                <c:ptCount val="3"/>
                <c:pt idx="0">
                  <c:v>Atual</c:v>
                </c:pt>
                <c:pt idx="1">
                  <c:v>15,98%</c:v>
                </c:pt>
                <c:pt idx="2">
                  <c:v>19,74%</c:v>
                </c:pt>
              </c:strCache>
            </c:strRef>
          </c:cat>
          <c:val>
            <c:numRef>
              <c:f>Resumo!$J$9:$L$9</c:f>
              <c:numCache>
                <c:formatCode>General</c:formatCode>
                <c:ptCount val="3"/>
                <c:pt idx="0">
                  <c:v>0</c:v>
                </c:pt>
                <c:pt idx="1">
                  <c:v>84.47</c:v>
                </c:pt>
                <c:pt idx="2">
                  <c:v>104.34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D2-438F-A833-1BB7ED2AFB44}"/>
            </c:ext>
          </c:extLst>
        </c:ser>
        <c:ser>
          <c:idx val="2"/>
          <c:order val="2"/>
          <c:tx>
            <c:strRef>
              <c:f>Resumo!$I$10</c:f>
              <c:strCache>
                <c:ptCount val="1"/>
                <c:pt idx="0">
                  <c:v>Novo valor com desconto de pontualidade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Resumo!$J$7:$L$7</c:f>
              <c:strCache>
                <c:ptCount val="3"/>
                <c:pt idx="0">
                  <c:v>Atual</c:v>
                </c:pt>
                <c:pt idx="1">
                  <c:v>15,98%</c:v>
                </c:pt>
                <c:pt idx="2">
                  <c:v>19,74%</c:v>
                </c:pt>
              </c:strCache>
            </c:strRef>
          </c:cat>
          <c:val>
            <c:numRef>
              <c:f>Resumo!$J$10:$L$10</c:f>
              <c:numCache>
                <c:formatCode>General</c:formatCode>
                <c:ptCount val="3"/>
                <c:pt idx="0">
                  <c:v>528.58000000000004</c:v>
                </c:pt>
                <c:pt idx="1">
                  <c:v>613.05000000000007</c:v>
                </c:pt>
                <c:pt idx="2">
                  <c:v>632.92000000000007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D2-438F-A833-1BB7ED2AF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4012175"/>
        <c:axId val="664011695"/>
      </c:barChart>
      <c:catAx>
        <c:axId val="664012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4011695"/>
        <c:crosses val="autoZero"/>
        <c:auto val="1"/>
        <c:lblAlgn val="ctr"/>
        <c:lblOffset val="100"/>
        <c:noMultiLvlLbl val="0"/>
      </c:catAx>
      <c:valAx>
        <c:axId val="6640116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4012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83820</xdr:rowOff>
    </xdr:from>
    <xdr:to>
      <xdr:col>1</xdr:col>
      <xdr:colOff>1710690</xdr:colOff>
      <xdr:row>3</xdr:row>
      <xdr:rowOff>188970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69C28F-466C-46E7-B75D-D7BAB5E0C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83820"/>
          <a:ext cx="1969770" cy="678891"/>
        </a:xfrm>
        <a:prstGeom prst="rect">
          <a:avLst/>
        </a:prstGeom>
      </xdr:spPr>
    </xdr:pic>
    <xdr:clientData/>
  </xdr:twoCellAnchor>
  <xdr:twoCellAnchor>
    <xdr:from>
      <xdr:col>13</xdr:col>
      <xdr:colOff>1671134</xdr:colOff>
      <xdr:row>4</xdr:row>
      <xdr:rowOff>42750</xdr:rowOff>
    </xdr:from>
    <xdr:to>
      <xdr:col>13</xdr:col>
      <xdr:colOff>6256469</xdr:colOff>
      <xdr:row>13</xdr:row>
      <xdr:rowOff>184392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4D43C3-1A4A-A2FB-DC7C-CC63781F34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83820</xdr:rowOff>
    </xdr:from>
    <xdr:to>
      <xdr:col>1</xdr:col>
      <xdr:colOff>1767840</xdr:colOff>
      <xdr:row>4</xdr:row>
      <xdr:rowOff>711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0226F25-C315-48E0-B921-E06336742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83820"/>
          <a:ext cx="1973580" cy="6788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83820</xdr:rowOff>
    </xdr:from>
    <xdr:to>
      <xdr:col>1</xdr:col>
      <xdr:colOff>1767840</xdr:colOff>
      <xdr:row>4</xdr:row>
      <xdr:rowOff>711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D7A6A5-31AF-4EA0-AE71-0010308AA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83820"/>
          <a:ext cx="1969770" cy="6788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4517</xdr:colOff>
      <xdr:row>4</xdr:row>
      <xdr:rowOff>93346</xdr:rowOff>
    </xdr:from>
    <xdr:to>
      <xdr:col>13</xdr:col>
      <xdr:colOff>378528</xdr:colOff>
      <xdr:row>20</xdr:row>
      <xdr:rowOff>91037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F54C7FA-E05E-D3CA-734D-099AF3AAB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8937" y="695326"/>
          <a:ext cx="4664071" cy="3053311"/>
        </a:xfrm>
        <a:prstGeom prst="rect">
          <a:avLst/>
        </a:prstGeom>
      </xdr:spPr>
    </xdr:pic>
    <xdr:clientData/>
  </xdr:twoCellAnchor>
  <xdr:twoCellAnchor editAs="oneCell">
    <xdr:from>
      <xdr:col>0</xdr:col>
      <xdr:colOff>297180</xdr:colOff>
      <xdr:row>6</xdr:row>
      <xdr:rowOff>167640</xdr:rowOff>
    </xdr:from>
    <xdr:to>
      <xdr:col>7</xdr:col>
      <xdr:colOff>268409</xdr:colOff>
      <xdr:row>25</xdr:row>
      <xdr:rowOff>7620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562A6C6D-165A-4221-B4FB-B1CE352CE7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3964"/>
        <a:stretch>
          <a:fillRect/>
        </a:stretch>
      </xdr:blipFill>
      <xdr:spPr>
        <a:xfrm>
          <a:off x="297180" y="1158240"/>
          <a:ext cx="4939469" cy="3459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Open Sans"/>
        <a:ea typeface="Open Sans"/>
        <a:cs typeface="Open Sans"/>
      </a:majorFont>
      <a:minorFont>
        <a:latin typeface="Open Sans"/>
        <a:ea typeface="Open Sans"/>
        <a:cs typeface="Open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E7AF-42EA-472E-9E57-C4C16EAE4F63}">
  <sheetPr codeName="Planilha2"/>
  <dimension ref="B4:N41"/>
  <sheetViews>
    <sheetView showGridLines="0" tabSelected="1" zoomScale="85" zoomScaleNormal="85" workbookViewId="0">
      <selection activeCell="F11" sqref="F11"/>
    </sheetView>
  </sheetViews>
  <sheetFormatPr defaultRowHeight="15" x14ac:dyDescent="0.3"/>
  <cols>
    <col min="1" max="1" width="4.28515625" customWidth="1"/>
    <col min="2" max="2" width="47.42578125" customWidth="1"/>
    <col min="3" max="3" width="29.7109375" customWidth="1"/>
    <col min="4" max="4" width="20.7109375" customWidth="1"/>
    <col min="5" max="5" width="16.85546875" customWidth="1"/>
    <col min="6" max="6" width="24.28515625" customWidth="1"/>
    <col min="7" max="7" width="23.5703125" customWidth="1"/>
    <col min="8" max="8" width="15" customWidth="1"/>
    <col min="9" max="9" width="34.85546875" bestFit="1" customWidth="1"/>
    <col min="10" max="10" width="11.28515625" customWidth="1"/>
    <col min="11" max="11" width="11.28515625" style="52" customWidth="1"/>
    <col min="12" max="12" width="14.140625" customWidth="1"/>
    <col min="13" max="13" width="1.140625" customWidth="1"/>
    <col min="14" max="14" width="95.140625" style="45" customWidth="1"/>
  </cols>
  <sheetData>
    <row r="4" spans="2:13" ht="18" x14ac:dyDescent="0.35">
      <c r="C4" s="124"/>
    </row>
    <row r="5" spans="2:13" ht="18" x14ac:dyDescent="0.35">
      <c r="C5" s="124"/>
    </row>
    <row r="6" spans="2:13" ht="18" x14ac:dyDescent="0.35">
      <c r="C6" s="124" t="s">
        <v>235</v>
      </c>
    </row>
    <row r="7" spans="2:13" ht="20.45" customHeight="1" x14ac:dyDescent="0.3">
      <c r="C7" s="66"/>
      <c r="E7" s="66" t="s">
        <v>236</v>
      </c>
      <c r="J7" s="133" t="s">
        <v>159</v>
      </c>
      <c r="K7" s="134">
        <v>0.1598</v>
      </c>
      <c r="L7" s="135">
        <v>0.19739999999999999</v>
      </c>
    </row>
    <row r="8" spans="2:13" s="45" customFormat="1" ht="25.9" customHeight="1" x14ac:dyDescent="0.3">
      <c r="C8" s="46" t="s">
        <v>174</v>
      </c>
      <c r="D8" s="107">
        <v>473959.15119999996</v>
      </c>
      <c r="I8" s="126" t="s">
        <v>241</v>
      </c>
      <c r="J8" s="127">
        <v>528.58000000000004</v>
      </c>
      <c r="K8" s="127">
        <v>528.58000000000004</v>
      </c>
      <c r="L8" s="127">
        <v>528.58000000000004</v>
      </c>
    </row>
    <row r="9" spans="2:13" s="45" customFormat="1" ht="25.9" customHeight="1" x14ac:dyDescent="0.3">
      <c r="C9" s="46" t="s">
        <v>175</v>
      </c>
      <c r="D9" s="107">
        <v>563861.62008326012</v>
      </c>
      <c r="E9" s="128" t="s">
        <v>240</v>
      </c>
      <c r="I9" s="126" t="s">
        <v>242</v>
      </c>
      <c r="J9" s="127">
        <v>0</v>
      </c>
      <c r="K9" s="129">
        <v>84.47</v>
      </c>
      <c r="L9" s="127">
        <v>104.34</v>
      </c>
    </row>
    <row r="10" spans="2:13" s="45" customFormat="1" ht="25.9" customHeight="1" x14ac:dyDescent="0.3">
      <c r="C10" s="46" t="s">
        <v>157</v>
      </c>
      <c r="D10" s="130">
        <v>0.19739999999999999</v>
      </c>
      <c r="E10" s="131">
        <v>104.34</v>
      </c>
      <c r="F10" s="69" t="s">
        <v>237</v>
      </c>
      <c r="I10" s="137" t="s">
        <v>243</v>
      </c>
      <c r="J10" s="138">
        <f>J8+J9</f>
        <v>528.58000000000004</v>
      </c>
      <c r="K10" s="138">
        <f t="shared" ref="K10:M10" si="0">K8+K9</f>
        <v>613.05000000000007</v>
      </c>
      <c r="L10" s="138">
        <f t="shared" si="0"/>
        <v>632.92000000000007</v>
      </c>
      <c r="M10" s="132">
        <f t="shared" si="0"/>
        <v>0</v>
      </c>
    </row>
    <row r="11" spans="2:13" ht="20.45" customHeight="1" x14ac:dyDescent="0.3">
      <c r="D11" s="108">
        <v>0.1598</v>
      </c>
      <c r="E11" s="109">
        <v>84.47</v>
      </c>
      <c r="F11" s="66" t="s">
        <v>238</v>
      </c>
    </row>
    <row r="12" spans="2:13" ht="20.45" customHeight="1" x14ac:dyDescent="0.3">
      <c r="C12" s="7"/>
      <c r="D12" s="108">
        <v>0</v>
      </c>
      <c r="E12" s="110">
        <v>0</v>
      </c>
      <c r="F12" s="7" t="s">
        <v>239</v>
      </c>
      <c r="G12" s="7"/>
    </row>
    <row r="13" spans="2:13" ht="30.75" x14ac:dyDescent="0.3">
      <c r="B13" s="73" t="s">
        <v>188</v>
      </c>
      <c r="C13" s="1"/>
      <c r="D13" s="1"/>
      <c r="E13" s="1"/>
      <c r="F13" s="1"/>
      <c r="G13" s="1"/>
    </row>
    <row r="14" spans="2:13" x14ac:dyDescent="0.3">
      <c r="B14" s="9"/>
      <c r="C14" s="139">
        <v>2023</v>
      </c>
      <c r="D14" s="139">
        <v>2024</v>
      </c>
      <c r="E14" s="139">
        <v>2025</v>
      </c>
      <c r="F14" s="139"/>
      <c r="G14" s="139"/>
    </row>
    <row r="15" spans="2:13" x14ac:dyDescent="0.3">
      <c r="B15" s="9"/>
      <c r="C15" s="139"/>
      <c r="D15" s="139"/>
      <c r="E15" s="78" t="s">
        <v>161</v>
      </c>
      <c r="F15" s="78" t="s">
        <v>172</v>
      </c>
      <c r="G15" s="78" t="s">
        <v>148</v>
      </c>
    </row>
    <row r="16" spans="2:13" ht="18.600000000000001" customHeight="1" x14ac:dyDescent="0.3">
      <c r="B16" s="76" t="s">
        <v>162</v>
      </c>
      <c r="C16" s="75">
        <v>4386906.57</v>
      </c>
      <c r="D16" s="75">
        <v>4459585.95</v>
      </c>
      <c r="E16" s="75">
        <v>2014619.43</v>
      </c>
      <c r="F16" s="75">
        <v>3140009.92</v>
      </c>
      <c r="G16" s="75">
        <v>5154629.3499999996</v>
      </c>
      <c r="H16" s="39"/>
    </row>
    <row r="17" spans="2:7" ht="18.600000000000001" customHeight="1" x14ac:dyDescent="0.3">
      <c r="B17" s="76" t="s">
        <v>163</v>
      </c>
      <c r="C17" s="75">
        <v>1472.05</v>
      </c>
      <c r="D17" s="75">
        <v>34957.660000000003</v>
      </c>
      <c r="E17" s="75">
        <v>66148.5</v>
      </c>
      <c r="F17" s="75">
        <v>18511.93</v>
      </c>
      <c r="G17" s="75">
        <v>84660.43</v>
      </c>
    </row>
    <row r="18" spans="2:7" ht="18.600000000000001" customHeight="1" x14ac:dyDescent="0.3">
      <c r="B18" s="76" t="s">
        <v>164</v>
      </c>
      <c r="C18" s="75">
        <v>875998.62</v>
      </c>
      <c r="D18" s="75">
        <v>2127.94</v>
      </c>
      <c r="E18" s="75">
        <v>1544.86</v>
      </c>
      <c r="F18" s="75">
        <v>395866.26</v>
      </c>
      <c r="G18" s="75">
        <v>397411.12</v>
      </c>
    </row>
    <row r="19" spans="2:7" ht="18.600000000000001" customHeight="1" x14ac:dyDescent="0.3">
      <c r="B19" s="76" t="s">
        <v>165</v>
      </c>
      <c r="C19" s="75">
        <v>300</v>
      </c>
      <c r="D19" s="75">
        <v>0</v>
      </c>
      <c r="E19" s="75">
        <v>0</v>
      </c>
      <c r="F19" s="75">
        <v>7026.64</v>
      </c>
      <c r="G19" s="75">
        <v>7026.64</v>
      </c>
    </row>
    <row r="20" spans="2:7" ht="18.600000000000001" customHeight="1" x14ac:dyDescent="0.3">
      <c r="B20" s="77" t="s">
        <v>173</v>
      </c>
      <c r="C20" s="75">
        <v>0</v>
      </c>
      <c r="D20" s="75">
        <v>6250</v>
      </c>
      <c r="E20" s="75">
        <v>980</v>
      </c>
      <c r="F20" s="75">
        <v>38812.620000000003</v>
      </c>
      <c r="G20" s="75">
        <v>39792.620000000003</v>
      </c>
    </row>
    <row r="21" spans="2:7" ht="18.600000000000001" customHeight="1" x14ac:dyDescent="0.3">
      <c r="B21" s="76" t="s">
        <v>166</v>
      </c>
      <c r="C21" s="75">
        <v>14148.5</v>
      </c>
      <c r="D21" s="75">
        <v>15173</v>
      </c>
      <c r="E21" s="75">
        <v>4903.01</v>
      </c>
      <c r="F21" s="75">
        <v>8908</v>
      </c>
      <c r="G21" s="75">
        <v>13811.01</v>
      </c>
    </row>
    <row r="22" spans="2:7" ht="18.600000000000001" customHeight="1" x14ac:dyDescent="0.3">
      <c r="B22" s="76" t="s">
        <v>167</v>
      </c>
      <c r="C22" s="75">
        <v>60859.68</v>
      </c>
      <c r="D22" s="75">
        <v>53807.97</v>
      </c>
      <c r="E22" s="75">
        <v>32038.13</v>
      </c>
      <c r="F22" s="75">
        <v>35203.760000000002</v>
      </c>
      <c r="G22" s="75">
        <v>67241.89</v>
      </c>
    </row>
    <row r="23" spans="2:7" ht="18.600000000000001" customHeight="1" x14ac:dyDescent="0.3">
      <c r="B23" s="76" t="s">
        <v>168</v>
      </c>
      <c r="C23" s="75">
        <v>14561.5</v>
      </c>
      <c r="D23" s="75">
        <v>20445.189999999999</v>
      </c>
      <c r="E23" s="75">
        <v>6930.79</v>
      </c>
      <c r="F23" s="75">
        <v>8155.49</v>
      </c>
      <c r="G23" s="75">
        <v>15086.28</v>
      </c>
    </row>
    <row r="24" spans="2:7" ht="12" customHeight="1" thickBot="1" x14ac:dyDescent="0.35">
      <c r="B24" s="74"/>
      <c r="C24" s="74"/>
      <c r="D24" s="74"/>
      <c r="E24" s="74"/>
      <c r="F24" s="74"/>
      <c r="G24" s="74"/>
    </row>
    <row r="25" spans="2:7" ht="18.600000000000001" customHeight="1" thickBot="1" x14ac:dyDescent="0.35">
      <c r="B25" s="35" t="s">
        <v>169</v>
      </c>
      <c r="C25" s="36">
        <v>68822.559999999998</v>
      </c>
      <c r="D25" s="125">
        <v>204294.63</v>
      </c>
      <c r="E25" s="125">
        <v>178847.73</v>
      </c>
      <c r="F25" s="125">
        <v>209604.58</v>
      </c>
      <c r="G25" s="125">
        <v>388452.31</v>
      </c>
    </row>
    <row r="26" spans="2:7" ht="18.600000000000001" customHeight="1" x14ac:dyDescent="0.3">
      <c r="B26" s="77" t="s">
        <v>246</v>
      </c>
      <c r="D26" s="75">
        <f>D25/12</f>
        <v>17024.552500000002</v>
      </c>
      <c r="E26" s="75">
        <f>E25/5</f>
        <v>35769.546000000002</v>
      </c>
      <c r="F26" s="75">
        <f>F25/7</f>
        <v>29943.511428571426</v>
      </c>
      <c r="G26" s="75">
        <f>G25/7</f>
        <v>55493.187142857139</v>
      </c>
    </row>
    <row r="27" spans="2:7" ht="18.600000000000001" customHeight="1" x14ac:dyDescent="0.3">
      <c r="B27" s="42"/>
      <c r="E27" s="42"/>
      <c r="F27" s="42"/>
      <c r="G27" s="42"/>
    </row>
    <row r="28" spans="2:7" ht="15.75" thickBot="1" x14ac:dyDescent="0.35">
      <c r="B28" s="42"/>
      <c r="C28" s="42"/>
      <c r="D28" s="42"/>
      <c r="E28" s="42"/>
      <c r="F28" s="42"/>
      <c r="G28" s="42"/>
    </row>
    <row r="29" spans="2:7" ht="15.75" thickBot="1" x14ac:dyDescent="0.35">
      <c r="B29" s="42"/>
      <c r="C29" s="70">
        <v>2025</v>
      </c>
      <c r="D29" s="71"/>
      <c r="E29" s="72"/>
    </row>
    <row r="30" spans="2:7" ht="30.75" thickBot="1" x14ac:dyDescent="0.35">
      <c r="B30" s="1"/>
      <c r="C30" s="33" t="s">
        <v>161</v>
      </c>
      <c r="D30" s="33" t="s">
        <v>172</v>
      </c>
      <c r="E30" s="34" t="s">
        <v>148</v>
      </c>
    </row>
    <row r="31" spans="2:7" ht="22.15" customHeight="1" x14ac:dyDescent="0.3">
      <c r="B31" s="40" t="s">
        <v>189</v>
      </c>
      <c r="C31" s="41">
        <v>2304467.59</v>
      </c>
      <c r="D31" s="41">
        <v>3466232.9400000004</v>
      </c>
      <c r="E31" s="41">
        <v>5770700.5299999984</v>
      </c>
    </row>
    <row r="32" spans="2:7" ht="22.15" customHeight="1" x14ac:dyDescent="0.3">
      <c r="B32" s="40" t="s">
        <v>190</v>
      </c>
      <c r="C32" s="41">
        <v>2083727.24</v>
      </c>
      <c r="D32" s="41">
        <v>3629081.98</v>
      </c>
      <c r="E32" s="41">
        <v>5712809.2199999997</v>
      </c>
    </row>
    <row r="33" spans="2:14" x14ac:dyDescent="0.3">
      <c r="B33" s="1"/>
      <c r="C33" s="1"/>
      <c r="D33" s="1"/>
      <c r="E33" s="37"/>
      <c r="F33" s="37"/>
      <c r="G33" s="1"/>
    </row>
    <row r="34" spans="2:14" ht="15.75" thickBot="1" x14ac:dyDescent="0.35">
      <c r="B34" s="1"/>
      <c r="C34" s="1"/>
      <c r="D34" s="1"/>
      <c r="E34" s="1"/>
      <c r="F34" s="37"/>
      <c r="G34" s="37"/>
    </row>
    <row r="35" spans="2:14" ht="18" customHeight="1" thickBot="1" x14ac:dyDescent="0.35">
      <c r="B35" s="1"/>
      <c r="C35" s="111">
        <v>2023</v>
      </c>
      <c r="D35" s="116">
        <v>2024</v>
      </c>
      <c r="E35" s="117">
        <v>2025</v>
      </c>
      <c r="F35" s="37"/>
      <c r="I35" s="52"/>
      <c r="K35"/>
      <c r="L35" s="45"/>
      <c r="N35"/>
    </row>
    <row r="36" spans="2:14" ht="18" customHeight="1" x14ac:dyDescent="0.3">
      <c r="B36" s="79" t="s">
        <v>191</v>
      </c>
      <c r="C36" s="112">
        <v>361157.42</v>
      </c>
      <c r="D36" s="118">
        <v>404362.55</v>
      </c>
      <c r="E36" s="41">
        <v>476694.38166666671</v>
      </c>
      <c r="F36" s="37"/>
      <c r="I36" s="52"/>
      <c r="K36"/>
      <c r="L36" s="45"/>
      <c r="N36"/>
    </row>
    <row r="37" spans="2:14" ht="18" customHeight="1" x14ac:dyDescent="0.3">
      <c r="B37" s="79" t="s">
        <v>193</v>
      </c>
      <c r="C37" s="112">
        <v>447.53087980173478</v>
      </c>
      <c r="D37" s="118">
        <v>501.0688351920694</v>
      </c>
      <c r="E37" s="41">
        <v>590.6993577034284</v>
      </c>
      <c r="F37" s="37"/>
      <c r="I37" s="52"/>
      <c r="K37"/>
      <c r="L37" s="45"/>
      <c r="N37"/>
    </row>
    <row r="38" spans="2:14" ht="18" customHeight="1" x14ac:dyDescent="0.3">
      <c r="B38" s="79" t="s">
        <v>192</v>
      </c>
      <c r="C38" s="112">
        <v>480.53</v>
      </c>
      <c r="D38" s="118">
        <v>480.53</v>
      </c>
      <c r="E38" s="41">
        <v>528.58000000000004</v>
      </c>
      <c r="F38" s="37"/>
      <c r="I38" s="52"/>
      <c r="K38"/>
      <c r="L38" s="45"/>
      <c r="N38"/>
    </row>
    <row r="39" spans="2:14" ht="18" customHeight="1" x14ac:dyDescent="0.3">
      <c r="B39" s="80" t="s">
        <v>194</v>
      </c>
      <c r="C39" s="113" t="s">
        <v>195</v>
      </c>
      <c r="D39" s="119">
        <f>D37-D38</f>
        <v>20.538835192069428</v>
      </c>
      <c r="E39" s="81">
        <f>E37-E38</f>
        <v>62.119357703428363</v>
      </c>
      <c r="F39" s="37"/>
    </row>
    <row r="40" spans="2:14" ht="18" customHeight="1" thickBot="1" x14ac:dyDescent="0.35">
      <c r="B40" s="80" t="s">
        <v>196</v>
      </c>
      <c r="C40" s="114" t="s">
        <v>170</v>
      </c>
      <c r="D40" s="120">
        <f>D39/D38</f>
        <v>4.274204564141558E-2</v>
      </c>
      <c r="E40" s="82">
        <f>E39/E38</f>
        <v>0.11752120341940361</v>
      </c>
      <c r="F40" s="37"/>
    </row>
    <row r="41" spans="2:14" ht="18" customHeight="1" thickBot="1" x14ac:dyDescent="0.35">
      <c r="B41" s="123" t="s">
        <v>245</v>
      </c>
      <c r="C41" s="115"/>
      <c r="D41" s="121">
        <v>204294.63</v>
      </c>
      <c r="E41" s="122">
        <v>388452.31</v>
      </c>
      <c r="F41" s="37"/>
    </row>
  </sheetData>
  <mergeCells count="3">
    <mergeCell ref="C14:C15"/>
    <mergeCell ref="D14:D15"/>
    <mergeCell ref="E14:G1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B9670-8761-43E7-B66F-F7FC1E20C914}">
  <dimension ref="A3:M211"/>
  <sheetViews>
    <sheetView showGridLines="0" zoomScale="85" zoomScaleNormal="85" workbookViewId="0">
      <selection activeCell="A212" sqref="A212:XFD280"/>
    </sheetView>
  </sheetViews>
  <sheetFormatPr defaultRowHeight="15" x14ac:dyDescent="0.3"/>
  <cols>
    <col min="1" max="1" width="4.28515625" customWidth="1"/>
    <col min="2" max="2" width="47.42578125" customWidth="1"/>
    <col min="3" max="3" width="14.85546875" bestFit="1" customWidth="1"/>
    <col min="4" max="4" width="19.7109375" bestFit="1" customWidth="1"/>
    <col min="5" max="7" width="14.85546875" bestFit="1" customWidth="1"/>
    <col min="8" max="8" width="15" customWidth="1"/>
    <col min="9" max="10" width="13.85546875" customWidth="1"/>
    <col min="11" max="11" width="14.85546875" style="52" customWidth="1"/>
    <col min="12" max="12" width="15.7109375" customWidth="1"/>
    <col min="13" max="13" width="12.28515625" bestFit="1" customWidth="1"/>
    <col min="14" max="14" width="11.42578125" customWidth="1"/>
  </cols>
  <sheetData>
    <row r="3" spans="2:13" x14ac:dyDescent="0.3">
      <c r="K3" s="102"/>
      <c r="L3" s="84"/>
    </row>
    <row r="4" spans="2:13" x14ac:dyDescent="0.3">
      <c r="K4" s="102"/>
      <c r="L4" s="84"/>
      <c r="M4" s="104"/>
    </row>
    <row r="5" spans="2:13" ht="15.75" thickBot="1" x14ac:dyDescent="0.35"/>
    <row r="6" spans="2:13" ht="15.6" customHeight="1" thickBot="1" x14ac:dyDescent="0.35">
      <c r="B6" s="157" t="s">
        <v>0</v>
      </c>
      <c r="C6" s="146">
        <v>2023</v>
      </c>
      <c r="D6" s="148" t="s">
        <v>186</v>
      </c>
      <c r="E6" s="150">
        <v>2024</v>
      </c>
      <c r="F6" s="148" t="s">
        <v>185</v>
      </c>
      <c r="G6" s="152">
        <v>2025</v>
      </c>
      <c r="H6" s="153"/>
      <c r="I6" s="154"/>
      <c r="J6" s="155" t="s">
        <v>184</v>
      </c>
      <c r="K6" s="142" t="s">
        <v>1</v>
      </c>
      <c r="L6" s="140" t="s">
        <v>2</v>
      </c>
    </row>
    <row r="7" spans="2:13" ht="45" x14ac:dyDescent="0.3">
      <c r="B7" s="145"/>
      <c r="C7" s="147"/>
      <c r="D7" s="149" t="s">
        <v>183</v>
      </c>
      <c r="E7" s="151"/>
      <c r="F7" s="149" t="s">
        <v>183</v>
      </c>
      <c r="G7" s="43" t="s">
        <v>3</v>
      </c>
      <c r="H7" s="43" t="s">
        <v>171</v>
      </c>
      <c r="I7" s="43" t="s">
        <v>4</v>
      </c>
      <c r="J7" s="156"/>
      <c r="K7" s="143"/>
      <c r="L7" s="141"/>
    </row>
    <row r="8" spans="2:13" x14ac:dyDescent="0.3">
      <c r="B8" s="47" t="s">
        <v>5</v>
      </c>
      <c r="C8" s="48">
        <v>2969.75</v>
      </c>
      <c r="D8" s="49">
        <f>(E8-C8)/C8</f>
        <v>-6.8298678339927574E-2</v>
      </c>
      <c r="E8" s="48">
        <v>2766.92</v>
      </c>
      <c r="F8" s="49">
        <f>(I8-E8)/E8</f>
        <v>0.10125458391761721</v>
      </c>
      <c r="G8" s="48">
        <v>2946.1</v>
      </c>
      <c r="H8" s="48">
        <v>3119.2142857142858</v>
      </c>
      <c r="I8" s="48">
        <v>3047.0833333333335</v>
      </c>
      <c r="J8" s="55">
        <v>0</v>
      </c>
      <c r="K8" s="53">
        <v>3047.0833333333335</v>
      </c>
      <c r="L8" s="57">
        <f>K8*12</f>
        <v>36565</v>
      </c>
    </row>
    <row r="9" spans="2:13" x14ac:dyDescent="0.3">
      <c r="B9" s="47" t="s">
        <v>6</v>
      </c>
      <c r="C9" s="48">
        <v>33.85</v>
      </c>
      <c r="D9" s="49">
        <f>(E9-C9)/C9</f>
        <v>-5.3766617429837522E-2</v>
      </c>
      <c r="E9" s="48">
        <v>32.03</v>
      </c>
      <c r="F9" s="49">
        <f>(I9-E9)/E9</f>
        <v>-3.9208034134665587E-2</v>
      </c>
      <c r="G9" s="48">
        <v>31.1</v>
      </c>
      <c r="H9" s="48">
        <v>30.53857142857143</v>
      </c>
      <c r="I9" s="48">
        <v>30.774166666666662</v>
      </c>
      <c r="J9" s="55">
        <v>0</v>
      </c>
      <c r="K9" s="53">
        <v>30.774166666666662</v>
      </c>
      <c r="L9" s="57">
        <f>K9*12</f>
        <v>369.28999999999996</v>
      </c>
    </row>
    <row r="10" spans="2:13" x14ac:dyDescent="0.3">
      <c r="B10" s="47" t="s">
        <v>199</v>
      </c>
      <c r="C10" s="48">
        <v>1.39</v>
      </c>
      <c r="D10" s="49" t="s">
        <v>170</v>
      </c>
      <c r="E10" s="48">
        <v>0</v>
      </c>
      <c r="F10" s="49" t="s">
        <v>170</v>
      </c>
      <c r="G10" s="48">
        <v>0</v>
      </c>
      <c r="H10" s="48">
        <v>0</v>
      </c>
      <c r="I10" s="48">
        <v>0</v>
      </c>
      <c r="J10" s="56" t="s">
        <v>170</v>
      </c>
      <c r="K10" s="53" t="s">
        <v>170</v>
      </c>
      <c r="L10" s="57" t="s">
        <v>170</v>
      </c>
    </row>
    <row r="11" spans="2:13" x14ac:dyDescent="0.3">
      <c r="B11" s="47" t="s">
        <v>200</v>
      </c>
      <c r="C11" s="48">
        <v>233.68</v>
      </c>
      <c r="D11" s="49">
        <f>(E11-C11)/C11</f>
        <v>8.1521739130434701E-2</v>
      </c>
      <c r="E11" s="48">
        <v>252.73</v>
      </c>
      <c r="F11" s="49">
        <f>(I11-E11)/E11</f>
        <v>-0.45567733681531014</v>
      </c>
      <c r="G11" s="48">
        <v>193.61</v>
      </c>
      <c r="H11" s="48">
        <v>97.53714285714284</v>
      </c>
      <c r="I11" s="48">
        <v>137.56666666666666</v>
      </c>
      <c r="J11" s="55">
        <f>(K11-I11)/I11</f>
        <v>-0.29096195783862361</v>
      </c>
      <c r="K11" s="53">
        <v>97.54</v>
      </c>
      <c r="L11" s="57">
        <f>K11*12</f>
        <v>1170.48</v>
      </c>
    </row>
    <row r="12" spans="2:13" ht="15.75" thickBot="1" x14ac:dyDescent="0.35">
      <c r="B12" s="50" t="s">
        <v>201</v>
      </c>
      <c r="C12" s="51">
        <v>91</v>
      </c>
      <c r="D12" s="49" t="s">
        <v>170</v>
      </c>
      <c r="E12" s="51">
        <v>0</v>
      </c>
      <c r="F12" s="49" t="s">
        <v>170</v>
      </c>
      <c r="G12" s="51">
        <v>0</v>
      </c>
      <c r="H12" s="51">
        <v>0</v>
      </c>
      <c r="I12" s="51">
        <v>0</v>
      </c>
      <c r="J12" s="56" t="s">
        <v>170</v>
      </c>
      <c r="K12" s="53" t="s">
        <v>170</v>
      </c>
      <c r="L12" s="57" t="s">
        <v>170</v>
      </c>
    </row>
    <row r="13" spans="2:13" ht="17.25" thickBot="1" x14ac:dyDescent="0.35">
      <c r="B13" s="58" t="s">
        <v>197</v>
      </c>
      <c r="C13" s="59">
        <f>SUM(C8:C12)</f>
        <v>3329.6699999999996</v>
      </c>
      <c r="D13" s="60">
        <f>(E13-C13)/C13</f>
        <v>-8.348875414080055E-2</v>
      </c>
      <c r="E13" s="59">
        <f>SUM(E8:E12)</f>
        <v>3051.6800000000003</v>
      </c>
      <c r="F13" s="60">
        <f>(I13-E13)/E13</f>
        <v>5.3657056659501115E-2</v>
      </c>
      <c r="G13" s="59">
        <f>SUM(G8:G12)</f>
        <v>3170.81</v>
      </c>
      <c r="H13" s="59">
        <f>SUM(H8:H12)</f>
        <v>3247.29</v>
      </c>
      <c r="I13" s="59">
        <f>SUM(I8:I12)</f>
        <v>3215.4241666666667</v>
      </c>
      <c r="J13" s="63">
        <f>(K13-I13)/I13</f>
        <v>-1.2448331726063092E-2</v>
      </c>
      <c r="K13" s="61">
        <f>SUM(K8:K12)</f>
        <v>3175.3975</v>
      </c>
      <c r="L13" s="62">
        <f>K13*12</f>
        <v>38104.770000000004</v>
      </c>
    </row>
    <row r="14" spans="2:13" ht="15.6" customHeight="1" thickBot="1" x14ac:dyDescent="0.35">
      <c r="B14" s="144" t="s">
        <v>7</v>
      </c>
      <c r="C14" s="146">
        <v>2023</v>
      </c>
      <c r="D14" s="148" t="s">
        <v>186</v>
      </c>
      <c r="E14" s="150">
        <v>2024</v>
      </c>
      <c r="F14" s="148" t="s">
        <v>185</v>
      </c>
      <c r="G14" s="152">
        <v>2025</v>
      </c>
      <c r="H14" s="153"/>
      <c r="I14" s="154"/>
      <c r="J14" s="155" t="s">
        <v>184</v>
      </c>
      <c r="K14" s="142" t="s">
        <v>1</v>
      </c>
      <c r="L14" s="140" t="s">
        <v>2</v>
      </c>
    </row>
    <row r="15" spans="2:13" ht="45" x14ac:dyDescent="0.3">
      <c r="B15" s="145"/>
      <c r="C15" s="147"/>
      <c r="D15" s="149" t="s">
        <v>183</v>
      </c>
      <c r="E15" s="151"/>
      <c r="F15" s="149" t="s">
        <v>183</v>
      </c>
      <c r="G15" s="43" t="s">
        <v>3</v>
      </c>
      <c r="H15" s="43" t="s">
        <v>171</v>
      </c>
      <c r="I15" s="43" t="s">
        <v>4</v>
      </c>
      <c r="J15" s="156"/>
      <c r="K15" s="143"/>
      <c r="L15" s="141"/>
    </row>
    <row r="16" spans="2:13" x14ac:dyDescent="0.3">
      <c r="B16" s="47" t="s">
        <v>8</v>
      </c>
      <c r="C16" s="48">
        <v>854.14</v>
      </c>
      <c r="D16" s="49">
        <f>(E16-C16)/C16</f>
        <v>0.789882220713232</v>
      </c>
      <c r="E16" s="48">
        <v>1528.81</v>
      </c>
      <c r="F16" s="49">
        <f t="shared" ref="F16:F22" si="0">(I16-E16)/E16</f>
        <v>-6.3006521412078714E-2</v>
      </c>
      <c r="G16" s="48">
        <v>940.09</v>
      </c>
      <c r="H16" s="48">
        <v>1784.1928571428573</v>
      </c>
      <c r="I16" s="48">
        <v>1432.4849999999999</v>
      </c>
      <c r="J16" s="55">
        <f t="shared" ref="J16:J22" si="1">(K16-I16)/I16</f>
        <v>8.9999999999999969E-2</v>
      </c>
      <c r="K16" s="53">
        <v>1561.4086499999999</v>
      </c>
      <c r="L16" s="14">
        <f t="shared" ref="L16:L22" si="2">K16*12</f>
        <v>18736.9038</v>
      </c>
    </row>
    <row r="17" spans="2:12" x14ac:dyDescent="0.3">
      <c r="B17" s="47" t="s">
        <v>9</v>
      </c>
      <c r="C17" s="48">
        <v>4736.03</v>
      </c>
      <c r="D17" s="49">
        <f t="shared" ref="D17:D22" si="3">(E17-C17)/C17</f>
        <v>0.15014051853556684</v>
      </c>
      <c r="E17" s="48">
        <v>5447.1</v>
      </c>
      <c r="F17" s="49">
        <f t="shared" si="0"/>
        <v>9.345951668471986E-3</v>
      </c>
      <c r="G17" s="48">
        <v>5039.3100000000004</v>
      </c>
      <c r="H17" s="48">
        <v>5825.6500000000005</v>
      </c>
      <c r="I17" s="48">
        <v>5498.0083333333341</v>
      </c>
      <c r="J17" s="55">
        <f t="shared" si="1"/>
        <v>4.999999999999994E-2</v>
      </c>
      <c r="K17" s="53">
        <v>5772.9087500000005</v>
      </c>
      <c r="L17" s="14">
        <f t="shared" si="2"/>
        <v>69274.904999999999</v>
      </c>
    </row>
    <row r="18" spans="2:12" x14ac:dyDescent="0.3">
      <c r="B18" s="47" t="s">
        <v>202</v>
      </c>
      <c r="C18" s="48">
        <v>1075.0999999999999</v>
      </c>
      <c r="D18" s="49">
        <f t="shared" si="3"/>
        <v>-3.3866617058878112E-2</v>
      </c>
      <c r="E18" s="48">
        <v>1038.69</v>
      </c>
      <c r="F18" s="49">
        <f t="shared" si="0"/>
        <v>-0.1267598288870278</v>
      </c>
      <c r="G18" s="48">
        <v>960.25</v>
      </c>
      <c r="H18" s="48">
        <v>869.0100000000001</v>
      </c>
      <c r="I18" s="48">
        <v>907.02583333333314</v>
      </c>
      <c r="J18" s="55">
        <f t="shared" si="1"/>
        <v>3.9999999999999987E-2</v>
      </c>
      <c r="K18" s="53">
        <v>943.30686666666645</v>
      </c>
      <c r="L18" s="14">
        <f t="shared" si="2"/>
        <v>11319.682399999998</v>
      </c>
    </row>
    <row r="19" spans="2:12" x14ac:dyDescent="0.3">
      <c r="B19" s="47" t="s">
        <v>203</v>
      </c>
      <c r="C19" s="48">
        <v>0</v>
      </c>
      <c r="D19" s="49" t="s">
        <v>170</v>
      </c>
      <c r="E19" s="48">
        <v>81.760000000000005</v>
      </c>
      <c r="F19" s="49">
        <f t="shared" si="0"/>
        <v>1.1206376386170909</v>
      </c>
      <c r="G19" s="48">
        <v>94.32</v>
      </c>
      <c r="H19" s="48">
        <v>229.85714285714289</v>
      </c>
      <c r="I19" s="48">
        <v>173.38333333333335</v>
      </c>
      <c r="J19" s="55">
        <f t="shared" si="1"/>
        <v>4.000000000000007E-2</v>
      </c>
      <c r="K19" s="53">
        <v>180.3186666666667</v>
      </c>
      <c r="L19" s="14">
        <f t="shared" si="2"/>
        <v>2163.8240000000005</v>
      </c>
    </row>
    <row r="20" spans="2:12" x14ac:dyDescent="0.3">
      <c r="B20" s="47" t="s">
        <v>204</v>
      </c>
      <c r="C20" s="48">
        <v>59.17</v>
      </c>
      <c r="D20" s="49">
        <f t="shared" si="3"/>
        <v>-0.35220550954875784</v>
      </c>
      <c r="E20" s="48">
        <v>38.33</v>
      </c>
      <c r="F20" s="49">
        <f t="shared" si="0"/>
        <v>0.29359074702148025</v>
      </c>
      <c r="G20" s="48">
        <v>70</v>
      </c>
      <c r="H20" s="48">
        <v>35</v>
      </c>
      <c r="I20" s="48">
        <v>49.583333333333336</v>
      </c>
      <c r="J20" s="55">
        <f t="shared" si="1"/>
        <v>4.0000000000000015E-2</v>
      </c>
      <c r="K20" s="53">
        <v>51.56666666666667</v>
      </c>
      <c r="L20" s="14">
        <f t="shared" si="2"/>
        <v>618.80000000000007</v>
      </c>
    </row>
    <row r="21" spans="2:12" ht="15.75" thickBot="1" x14ac:dyDescent="0.35">
      <c r="B21" s="47" t="s">
        <v>205</v>
      </c>
      <c r="C21" s="48">
        <v>27127.62</v>
      </c>
      <c r="D21" s="49">
        <f t="shared" si="3"/>
        <v>7.6575460729691777E-2</v>
      </c>
      <c r="E21" s="48">
        <v>29204.93</v>
      </c>
      <c r="F21" s="49">
        <f t="shared" si="0"/>
        <v>-7.4787572965705748E-2</v>
      </c>
      <c r="G21" s="48">
        <v>27828.59</v>
      </c>
      <c r="H21" s="48">
        <v>26443.747142857144</v>
      </c>
      <c r="I21" s="48">
        <v>27020.764166666671</v>
      </c>
      <c r="J21" s="55">
        <f t="shared" si="1"/>
        <v>0.15950236665216422</v>
      </c>
      <c r="K21" s="54">
        <v>31330.639999999999</v>
      </c>
      <c r="L21" s="14">
        <f t="shared" si="2"/>
        <v>375967.68</v>
      </c>
    </row>
    <row r="22" spans="2:12" ht="17.25" thickBot="1" x14ac:dyDescent="0.35">
      <c r="B22" s="58" t="s">
        <v>176</v>
      </c>
      <c r="C22" s="59">
        <f>SUM(C16:C21)</f>
        <v>33852.06</v>
      </c>
      <c r="D22" s="60">
        <f t="shared" si="3"/>
        <v>0.10302356784195718</v>
      </c>
      <c r="E22" s="59">
        <f>SUM(E16:E21)</f>
        <v>37339.620000000003</v>
      </c>
      <c r="F22" s="60">
        <f t="shared" si="0"/>
        <v>-6.0481868856726316E-2</v>
      </c>
      <c r="G22" s="59">
        <f>SUM(G16:G21)</f>
        <v>34932.559999999998</v>
      </c>
      <c r="H22" s="59">
        <f>SUM(H16:H21)</f>
        <v>35187.457142857143</v>
      </c>
      <c r="I22" s="59">
        <f>SUM(I16:I21)</f>
        <v>35081.250000000007</v>
      </c>
      <c r="J22" s="63">
        <f t="shared" si="1"/>
        <v>0.1356536497416708</v>
      </c>
      <c r="K22" s="61">
        <f>SUM(K16:K21)</f>
        <v>39840.149599999997</v>
      </c>
      <c r="L22" s="62">
        <f t="shared" si="2"/>
        <v>478081.79519999993</v>
      </c>
    </row>
    <row r="23" spans="2:12" ht="15.6" customHeight="1" thickBot="1" x14ac:dyDescent="0.35">
      <c r="B23" s="144" t="s">
        <v>10</v>
      </c>
      <c r="C23" s="146">
        <v>2023</v>
      </c>
      <c r="D23" s="148" t="s">
        <v>186</v>
      </c>
      <c r="E23" s="150">
        <v>2024</v>
      </c>
      <c r="F23" s="148" t="s">
        <v>185</v>
      </c>
      <c r="G23" s="152">
        <v>2025</v>
      </c>
      <c r="H23" s="153"/>
      <c r="I23" s="154"/>
      <c r="J23" s="155" t="s">
        <v>184</v>
      </c>
      <c r="K23" s="142" t="s">
        <v>1</v>
      </c>
      <c r="L23" s="140" t="s">
        <v>2</v>
      </c>
    </row>
    <row r="24" spans="2:12" ht="45" x14ac:dyDescent="0.3">
      <c r="B24" s="145"/>
      <c r="C24" s="147"/>
      <c r="D24" s="149" t="s">
        <v>183</v>
      </c>
      <c r="E24" s="151"/>
      <c r="F24" s="149" t="s">
        <v>183</v>
      </c>
      <c r="G24" s="43" t="s">
        <v>3</v>
      </c>
      <c r="H24" s="43" t="s">
        <v>171</v>
      </c>
      <c r="I24" s="43" t="s">
        <v>4</v>
      </c>
      <c r="J24" s="156"/>
      <c r="K24" s="143"/>
      <c r="L24" s="141"/>
    </row>
    <row r="25" spans="2:12" x14ac:dyDescent="0.3">
      <c r="B25" s="64" t="s">
        <v>11</v>
      </c>
      <c r="C25" s="48">
        <v>88811.32</v>
      </c>
      <c r="D25" s="49">
        <f>(E25-C25)/C25</f>
        <v>0.10785640839478565</v>
      </c>
      <c r="E25" s="48">
        <v>98390.19</v>
      </c>
      <c r="F25" s="49">
        <f>(I25-E25)/E25</f>
        <v>5.8796817040398019E-2</v>
      </c>
      <c r="G25" s="48">
        <v>106381.34</v>
      </c>
      <c r="H25" s="48">
        <v>101969.1</v>
      </c>
      <c r="I25" s="48">
        <v>104175.22</v>
      </c>
      <c r="J25" s="55">
        <f t="shared" ref="J25:J46" si="4">(K25-I25)/I25</f>
        <v>8.7440655272914225E-2</v>
      </c>
      <c r="K25" s="53">
        <f>129034.3695-15750</f>
        <v>113284.3695</v>
      </c>
      <c r="L25" s="14">
        <f t="shared" ref="L25:L44" si="5">K25*12</f>
        <v>1359412.4339999999</v>
      </c>
    </row>
    <row r="26" spans="2:12" x14ac:dyDescent="0.3">
      <c r="B26" s="64" t="s">
        <v>12</v>
      </c>
      <c r="C26" s="48">
        <v>266.47000000000003</v>
      </c>
      <c r="D26" s="49">
        <f t="shared" ref="D26:D45" si="6">(E26-C26)/C26</f>
        <v>-0.87961121326978653</v>
      </c>
      <c r="E26" s="48">
        <v>32.08</v>
      </c>
      <c r="F26" s="49">
        <f t="shared" ref="F26:F46" si="7">(I26-E26)/E26</f>
        <v>5.7911471321695771</v>
      </c>
      <c r="G26" s="48">
        <v>300</v>
      </c>
      <c r="H26" s="48">
        <v>135.71428571428572</v>
      </c>
      <c r="I26" s="48">
        <v>217.86</v>
      </c>
      <c r="J26" s="55">
        <f t="shared" si="4"/>
        <v>7.4999999999999928E-2</v>
      </c>
      <c r="K26" s="53">
        <v>234.1995</v>
      </c>
      <c r="L26" s="14">
        <f t="shared" si="5"/>
        <v>2810.3940000000002</v>
      </c>
    </row>
    <row r="27" spans="2:12" x14ac:dyDescent="0.3">
      <c r="B27" s="64" t="s">
        <v>13</v>
      </c>
      <c r="C27" s="48">
        <v>44264.03</v>
      </c>
      <c r="D27" s="49">
        <f t="shared" si="6"/>
        <v>-6.8323647891979089E-2</v>
      </c>
      <c r="E27" s="48">
        <v>41239.75</v>
      </c>
      <c r="F27" s="49">
        <f t="shared" si="7"/>
        <v>0.21436639811508712</v>
      </c>
      <c r="G27" s="48">
        <v>46690.9</v>
      </c>
      <c r="H27" s="48">
        <v>52501.071428571428</v>
      </c>
      <c r="I27" s="48">
        <v>50080.166666666664</v>
      </c>
      <c r="J27" s="55">
        <f t="shared" si="4"/>
        <v>3.9999999999999973E-2</v>
      </c>
      <c r="K27" s="53">
        <v>52083.373333333329</v>
      </c>
      <c r="L27" s="14">
        <f t="shared" si="5"/>
        <v>625000.48</v>
      </c>
    </row>
    <row r="28" spans="2:12" x14ac:dyDescent="0.3">
      <c r="B28" s="64" t="s">
        <v>14</v>
      </c>
      <c r="C28" s="48">
        <v>12746.68</v>
      </c>
      <c r="D28" s="49">
        <f t="shared" si="6"/>
        <v>0.10372426388675321</v>
      </c>
      <c r="E28" s="48">
        <v>14068.82</v>
      </c>
      <c r="F28" s="49">
        <f t="shared" si="7"/>
        <v>6.2924609171202683E-2</v>
      </c>
      <c r="G28" s="48">
        <v>14877.72</v>
      </c>
      <c r="H28" s="48">
        <v>15008.64857142857</v>
      </c>
      <c r="I28" s="48">
        <v>14954.094999999999</v>
      </c>
      <c r="J28" s="55">
        <f t="shared" si="4"/>
        <v>0</v>
      </c>
      <c r="K28" s="53">
        <v>14954.094999999999</v>
      </c>
      <c r="L28" s="14">
        <f t="shared" si="5"/>
        <v>179449.13999999998</v>
      </c>
    </row>
    <row r="29" spans="2:12" x14ac:dyDescent="0.3">
      <c r="B29" s="64" t="s">
        <v>15</v>
      </c>
      <c r="C29" s="48">
        <v>44469.64</v>
      </c>
      <c r="D29" s="49">
        <f t="shared" si="6"/>
        <v>3.5948121010199285E-2</v>
      </c>
      <c r="E29" s="48">
        <v>46068.24</v>
      </c>
      <c r="F29" s="49">
        <f t="shared" si="7"/>
        <v>5.0765234356684799E-2</v>
      </c>
      <c r="G29" s="48">
        <v>47951.91</v>
      </c>
      <c r="H29" s="48">
        <v>48731.902857142857</v>
      </c>
      <c r="I29" s="48">
        <v>48406.904999999999</v>
      </c>
      <c r="J29" s="55">
        <f t="shared" si="4"/>
        <v>7.4999999999999956E-2</v>
      </c>
      <c r="K29" s="53">
        <v>52037.422874999997</v>
      </c>
      <c r="L29" s="14">
        <f t="shared" si="5"/>
        <v>624449.07449999999</v>
      </c>
    </row>
    <row r="30" spans="2:12" x14ac:dyDescent="0.3">
      <c r="B30" s="64" t="s">
        <v>16</v>
      </c>
      <c r="C30" s="48">
        <v>0</v>
      </c>
      <c r="D30" s="49" t="s">
        <v>170</v>
      </c>
      <c r="E30" s="48">
        <v>3273.22</v>
      </c>
      <c r="F30" s="49">
        <f t="shared" si="7"/>
        <v>6.5024654621443148E-2</v>
      </c>
      <c r="G30" s="48">
        <v>0</v>
      </c>
      <c r="H30" s="48">
        <v>5976.11</v>
      </c>
      <c r="I30" s="48">
        <v>3486.06</v>
      </c>
      <c r="J30" s="55">
        <f t="shared" si="4"/>
        <v>7.4999999999999956E-2</v>
      </c>
      <c r="K30" s="53">
        <v>3747.5144999999998</v>
      </c>
      <c r="L30" s="14">
        <f t="shared" si="5"/>
        <v>44970.173999999999</v>
      </c>
    </row>
    <row r="31" spans="2:12" x14ac:dyDescent="0.3">
      <c r="B31" s="64" t="s">
        <v>17</v>
      </c>
      <c r="C31" s="48">
        <v>9541.52</v>
      </c>
      <c r="D31" s="49">
        <f t="shared" si="6"/>
        <v>9.8195046491544355E-2</v>
      </c>
      <c r="E31" s="48">
        <v>10478.450000000001</v>
      </c>
      <c r="F31" s="49">
        <f t="shared" si="7"/>
        <v>0.20012939254692569</v>
      </c>
      <c r="G31" s="48">
        <v>11282.49</v>
      </c>
      <c r="H31" s="48">
        <v>13499.070000000002</v>
      </c>
      <c r="I31" s="48">
        <v>12575.495833333334</v>
      </c>
      <c r="J31" s="55">
        <f t="shared" si="4"/>
        <v>7.4999999999999997E-2</v>
      </c>
      <c r="K31" s="53">
        <v>13518.658020833334</v>
      </c>
      <c r="L31" s="14">
        <f t="shared" si="5"/>
        <v>162223.89625000002</v>
      </c>
    </row>
    <row r="32" spans="2:12" x14ac:dyDescent="0.3">
      <c r="B32" s="64" t="s">
        <v>18</v>
      </c>
      <c r="C32" s="48">
        <v>917.56</v>
      </c>
      <c r="D32" s="49">
        <f t="shared" si="6"/>
        <v>-0.75355290117267537</v>
      </c>
      <c r="E32" s="48">
        <v>226.13</v>
      </c>
      <c r="F32" s="49">
        <f t="shared" si="7"/>
        <v>4.2523106177862289</v>
      </c>
      <c r="G32" s="48">
        <v>0</v>
      </c>
      <c r="H32" s="48">
        <v>2036.0657142857142</v>
      </c>
      <c r="I32" s="48">
        <v>1187.7049999999999</v>
      </c>
      <c r="J32" s="55">
        <f t="shared" si="4"/>
        <v>0</v>
      </c>
      <c r="K32" s="53">
        <v>1187.7049999999999</v>
      </c>
      <c r="L32" s="14">
        <f t="shared" si="5"/>
        <v>14252.46</v>
      </c>
    </row>
    <row r="33" spans="2:12" x14ac:dyDescent="0.3">
      <c r="B33" s="64" t="s">
        <v>19</v>
      </c>
      <c r="C33" s="48">
        <v>1104.3800000000001</v>
      </c>
      <c r="D33" s="49">
        <f t="shared" si="6"/>
        <v>-4.6315579782321377E-2</v>
      </c>
      <c r="E33" s="48">
        <v>1053.23</v>
      </c>
      <c r="F33" s="49">
        <f t="shared" si="7"/>
        <v>0.22957711041273027</v>
      </c>
      <c r="G33" s="48">
        <v>1294.3399999999999</v>
      </c>
      <c r="H33" s="48">
        <v>1295.5214285714285</v>
      </c>
      <c r="I33" s="48">
        <v>1295.0274999999999</v>
      </c>
      <c r="J33" s="55">
        <f t="shared" si="4"/>
        <v>7.4999999999999983E-2</v>
      </c>
      <c r="K33" s="53">
        <v>1392.1545624999999</v>
      </c>
      <c r="L33" s="14">
        <f t="shared" si="5"/>
        <v>16705.854749999999</v>
      </c>
    </row>
    <row r="34" spans="2:12" x14ac:dyDescent="0.3">
      <c r="B34" s="64" t="s">
        <v>20</v>
      </c>
      <c r="C34" s="48">
        <v>0</v>
      </c>
      <c r="D34" s="49" t="s">
        <v>170</v>
      </c>
      <c r="E34" s="48">
        <v>230.03</v>
      </c>
      <c r="F34" s="49">
        <f t="shared" si="7"/>
        <v>-1</v>
      </c>
      <c r="G34" s="48">
        <v>0</v>
      </c>
      <c r="H34" s="48">
        <v>0</v>
      </c>
      <c r="I34" s="48">
        <v>0</v>
      </c>
      <c r="J34" s="55" t="s">
        <v>170</v>
      </c>
      <c r="K34" s="53" t="s">
        <v>170</v>
      </c>
      <c r="L34" s="55" t="s">
        <v>170</v>
      </c>
    </row>
    <row r="35" spans="2:12" x14ac:dyDescent="0.3">
      <c r="B35" s="64" t="s">
        <v>21</v>
      </c>
      <c r="C35" s="48">
        <v>7733.34</v>
      </c>
      <c r="D35" s="49">
        <f t="shared" si="6"/>
        <v>0.14938952638833941</v>
      </c>
      <c r="E35" s="48">
        <v>8888.6200000000008</v>
      </c>
      <c r="F35" s="49">
        <f t="shared" si="7"/>
        <v>5.1622842840995699E-2</v>
      </c>
      <c r="G35" s="48">
        <v>0</v>
      </c>
      <c r="H35" s="48">
        <v>16024.244285714285</v>
      </c>
      <c r="I35" s="48">
        <v>9347.475833333332</v>
      </c>
      <c r="J35" s="55">
        <f t="shared" si="4"/>
        <v>7.4999999999999942E-2</v>
      </c>
      <c r="K35" s="53">
        <v>10048.536520833331</v>
      </c>
      <c r="L35" s="14">
        <f t="shared" si="5"/>
        <v>120582.43824999998</v>
      </c>
    </row>
    <row r="36" spans="2:12" x14ac:dyDescent="0.3">
      <c r="B36" s="64" t="s">
        <v>198</v>
      </c>
      <c r="C36" s="48">
        <v>12891.66</v>
      </c>
      <c r="D36" s="49">
        <f t="shared" si="6"/>
        <v>-1.3916749278215517E-2</v>
      </c>
      <c r="E36" s="48">
        <v>12712.25</v>
      </c>
      <c r="F36" s="49">
        <f t="shared" si="7"/>
        <v>-6.5433604069565811E-3</v>
      </c>
      <c r="G36" s="48">
        <v>14279.51</v>
      </c>
      <c r="H36" s="48">
        <v>11450.185714285715</v>
      </c>
      <c r="I36" s="48">
        <v>12629.069166666666</v>
      </c>
      <c r="J36" s="55">
        <f t="shared" si="4"/>
        <v>7.5000000000000011E-2</v>
      </c>
      <c r="K36" s="53">
        <v>13576.249354166666</v>
      </c>
      <c r="L36" s="14">
        <f t="shared" si="5"/>
        <v>162914.99225000001</v>
      </c>
    </row>
    <row r="37" spans="2:12" x14ac:dyDescent="0.3">
      <c r="B37" s="64" t="s">
        <v>212</v>
      </c>
      <c r="C37" s="48">
        <v>795.64</v>
      </c>
      <c r="D37" s="49">
        <f t="shared" si="6"/>
        <v>2.0127695942888746</v>
      </c>
      <c r="E37" s="48">
        <v>2397.08</v>
      </c>
      <c r="F37" s="49">
        <f t="shared" si="7"/>
        <v>-5.2540660581485252E-2</v>
      </c>
      <c r="G37" s="48">
        <v>731.2</v>
      </c>
      <c r="H37" s="48">
        <v>3371.09</v>
      </c>
      <c r="I37" s="48">
        <v>2271.1358333333333</v>
      </c>
      <c r="J37" s="55">
        <f t="shared" si="4"/>
        <v>4.2000000000000044E-2</v>
      </c>
      <c r="K37" s="53">
        <v>2366.5235383333334</v>
      </c>
      <c r="L37" s="14">
        <f t="shared" si="5"/>
        <v>28398.282460000002</v>
      </c>
    </row>
    <row r="38" spans="2:12" x14ac:dyDescent="0.3">
      <c r="B38" s="64" t="s">
        <v>213</v>
      </c>
      <c r="C38" s="48">
        <v>1667.51</v>
      </c>
      <c r="D38" s="49">
        <f t="shared" si="6"/>
        <v>-0.73699707947778426</v>
      </c>
      <c r="E38" s="48">
        <v>438.56</v>
      </c>
      <c r="F38" s="49">
        <f t="shared" si="7"/>
        <v>6.9747792016295751</v>
      </c>
      <c r="G38" s="48">
        <v>1525.1</v>
      </c>
      <c r="H38" s="48">
        <v>4906.2185714285715</v>
      </c>
      <c r="I38" s="48">
        <v>3497.4191666666666</v>
      </c>
      <c r="J38" s="55">
        <f t="shared" si="4"/>
        <v>0</v>
      </c>
      <c r="K38" s="53">
        <v>3497.4191666666666</v>
      </c>
      <c r="L38" s="14">
        <f t="shared" si="5"/>
        <v>41969.03</v>
      </c>
    </row>
    <row r="39" spans="2:12" x14ac:dyDescent="0.3">
      <c r="B39" s="64" t="s">
        <v>214</v>
      </c>
      <c r="C39" s="48">
        <v>0</v>
      </c>
      <c r="D39" s="49" t="s">
        <v>170</v>
      </c>
      <c r="E39" s="48">
        <v>13.75</v>
      </c>
      <c r="F39" s="49">
        <f t="shared" si="7"/>
        <v>2.1818181818181817</v>
      </c>
      <c r="G39" s="48">
        <v>33</v>
      </c>
      <c r="H39" s="48">
        <v>51.43</v>
      </c>
      <c r="I39" s="48">
        <v>43.75</v>
      </c>
      <c r="J39" s="55">
        <f t="shared" si="4"/>
        <v>0</v>
      </c>
      <c r="K39" s="53">
        <v>43.75</v>
      </c>
      <c r="L39" s="14">
        <f t="shared" si="5"/>
        <v>525</v>
      </c>
    </row>
    <row r="40" spans="2:12" x14ac:dyDescent="0.3">
      <c r="B40" s="64" t="s">
        <v>215</v>
      </c>
      <c r="C40" s="48">
        <v>379.31</v>
      </c>
      <c r="D40" s="49">
        <f t="shared" si="6"/>
        <v>1.0155281959347235</v>
      </c>
      <c r="E40" s="48">
        <v>764.51</v>
      </c>
      <c r="F40" s="49">
        <f t="shared" si="7"/>
        <v>0.1799420543877778</v>
      </c>
      <c r="G40" s="48">
        <v>525.73</v>
      </c>
      <c r="H40" s="48">
        <v>1170.8957142857143</v>
      </c>
      <c r="I40" s="48">
        <v>902.07749999999999</v>
      </c>
      <c r="J40" s="55">
        <f t="shared" si="4"/>
        <v>4.1999999999999982E-2</v>
      </c>
      <c r="K40" s="53">
        <v>939.96475499999997</v>
      </c>
      <c r="L40" s="14">
        <f t="shared" si="5"/>
        <v>11279.57706</v>
      </c>
    </row>
    <row r="41" spans="2:12" x14ac:dyDescent="0.3">
      <c r="B41" s="64" t="s">
        <v>216</v>
      </c>
      <c r="C41" s="48">
        <v>0</v>
      </c>
      <c r="D41" s="49" t="s">
        <v>170</v>
      </c>
      <c r="E41" s="48">
        <v>0</v>
      </c>
      <c r="F41" s="49" t="s">
        <v>170</v>
      </c>
      <c r="G41" s="48">
        <v>0</v>
      </c>
      <c r="H41" s="48">
        <v>71.430000000000007</v>
      </c>
      <c r="I41" s="48">
        <v>41.666666666666664</v>
      </c>
      <c r="J41" s="55">
        <f t="shared" si="4"/>
        <v>0</v>
      </c>
      <c r="K41" s="53">
        <v>41.666666666666664</v>
      </c>
      <c r="L41" s="14">
        <f t="shared" si="5"/>
        <v>500</v>
      </c>
    </row>
    <row r="42" spans="2:12" x14ac:dyDescent="0.3">
      <c r="B42" s="64" t="s">
        <v>217</v>
      </c>
      <c r="C42" s="48">
        <v>19.170000000000002</v>
      </c>
      <c r="D42" s="49">
        <f t="shared" si="6"/>
        <v>2.0213875847678664</v>
      </c>
      <c r="E42" s="48">
        <v>57.92</v>
      </c>
      <c r="F42" s="49">
        <f t="shared" si="7"/>
        <v>-0.85612338858195203</v>
      </c>
      <c r="G42" s="48">
        <v>0</v>
      </c>
      <c r="H42" s="48">
        <v>14.285714285714286</v>
      </c>
      <c r="I42" s="48">
        <v>8.3333333333333339</v>
      </c>
      <c r="J42" s="55" t="s">
        <v>170</v>
      </c>
      <c r="K42" s="53" t="s">
        <v>170</v>
      </c>
      <c r="L42" s="14" t="s">
        <v>170</v>
      </c>
    </row>
    <row r="43" spans="2:12" x14ac:dyDescent="0.3">
      <c r="B43" s="64" t="s">
        <v>218</v>
      </c>
      <c r="C43" s="48">
        <v>1991.56</v>
      </c>
      <c r="D43" s="49">
        <f t="shared" si="6"/>
        <v>-0.15035951716242546</v>
      </c>
      <c r="E43" s="48">
        <v>1692.11</v>
      </c>
      <c r="F43" s="49">
        <f t="shared" si="7"/>
        <v>2.5348036869155332E-2</v>
      </c>
      <c r="G43" s="48">
        <v>1709.72</v>
      </c>
      <c r="H43" s="48">
        <v>1753.06</v>
      </c>
      <c r="I43" s="48">
        <v>1735.0016666666663</v>
      </c>
      <c r="J43" s="55">
        <f t="shared" si="4"/>
        <v>3.9999999999999966E-2</v>
      </c>
      <c r="K43" s="53">
        <v>1804.4017333333329</v>
      </c>
      <c r="L43" s="14">
        <f t="shared" si="5"/>
        <v>21652.820799999994</v>
      </c>
    </row>
    <row r="44" spans="2:12" x14ac:dyDescent="0.3">
      <c r="B44" s="64" t="s">
        <v>219</v>
      </c>
      <c r="C44" s="48">
        <v>960.96</v>
      </c>
      <c r="D44" s="49">
        <f t="shared" si="6"/>
        <v>-5.5735930735930798E-2</v>
      </c>
      <c r="E44" s="48">
        <v>907.4</v>
      </c>
      <c r="F44" s="49">
        <f t="shared" si="7"/>
        <v>0.11473440599515125</v>
      </c>
      <c r="G44" s="48">
        <v>1013.72</v>
      </c>
      <c r="H44" s="48">
        <v>1009.9285714285714</v>
      </c>
      <c r="I44" s="48">
        <v>1011.5100000000002</v>
      </c>
      <c r="J44" s="55">
        <f t="shared" si="4"/>
        <v>3.9999999999999931E-2</v>
      </c>
      <c r="K44" s="53">
        <v>1051.9704000000002</v>
      </c>
      <c r="L44" s="14">
        <f t="shared" si="5"/>
        <v>12623.644800000002</v>
      </c>
    </row>
    <row r="45" spans="2:12" x14ac:dyDescent="0.3">
      <c r="B45" s="64" t="s">
        <v>220</v>
      </c>
      <c r="C45" s="48">
        <v>1283.33</v>
      </c>
      <c r="D45" s="49">
        <f t="shared" si="6"/>
        <v>-1</v>
      </c>
      <c r="E45" s="48">
        <v>0</v>
      </c>
      <c r="F45" s="49" t="s">
        <v>170</v>
      </c>
      <c r="G45" s="48">
        <v>0</v>
      </c>
      <c r="H45" s="48">
        <v>205.71428571428572</v>
      </c>
      <c r="I45" s="48">
        <v>120</v>
      </c>
      <c r="J45" s="55" t="s">
        <v>170</v>
      </c>
      <c r="K45" s="53" t="s">
        <v>170</v>
      </c>
      <c r="L45" s="55" t="s">
        <v>170</v>
      </c>
    </row>
    <row r="46" spans="2:12" ht="15.75" thickBot="1" x14ac:dyDescent="0.35">
      <c r="B46" s="64" t="s">
        <v>221</v>
      </c>
      <c r="C46" s="48">
        <v>0</v>
      </c>
      <c r="D46" s="49" t="s">
        <v>170</v>
      </c>
      <c r="E46" s="48">
        <v>97.22</v>
      </c>
      <c r="F46" s="49">
        <f t="shared" si="7"/>
        <v>6.4184324213124824E-2</v>
      </c>
      <c r="G46" s="48">
        <v>0</v>
      </c>
      <c r="H46" s="48">
        <v>177.36</v>
      </c>
      <c r="I46" s="48">
        <v>103.46</v>
      </c>
      <c r="J46" s="55">
        <f t="shared" si="4"/>
        <v>7.5000000000000025E-2</v>
      </c>
      <c r="K46" s="53">
        <v>111.2195</v>
      </c>
      <c r="L46" s="14">
        <f>K46*12</f>
        <v>1334.634</v>
      </c>
    </row>
    <row r="47" spans="2:12" ht="17.25" thickBot="1" x14ac:dyDescent="0.35">
      <c r="B47" s="58" t="s">
        <v>177</v>
      </c>
      <c r="C47" s="59">
        <f>SUM(C25:C46)</f>
        <v>229844.08000000002</v>
      </c>
      <c r="D47" s="60">
        <f>(E47-C47)/C47</f>
        <v>5.7367063793855422E-2</v>
      </c>
      <c r="E47" s="59">
        <f>SUM(E25:E46)</f>
        <v>243029.56000000003</v>
      </c>
      <c r="F47" s="60">
        <f>(G47-E47)/E47</f>
        <v>2.2907172279783557E-2</v>
      </c>
      <c r="G47" s="59">
        <f>SUM(G25:G46)</f>
        <v>248596.68000000002</v>
      </c>
      <c r="H47" s="59">
        <f>SUM(H25:H46)</f>
        <v>281359.04714285716</v>
      </c>
      <c r="I47" s="59">
        <f>SUM(I25:I46)</f>
        <v>268089.43416666664</v>
      </c>
      <c r="J47" s="63">
        <f>(K47-I47)/I47</f>
        <v>6.6514220582502864E-2</v>
      </c>
      <c r="K47" s="59">
        <f>SUM(K25:K46)</f>
        <v>285921.19392666669</v>
      </c>
      <c r="L47" s="62">
        <f>K47*12</f>
        <v>3431054.3271200005</v>
      </c>
    </row>
    <row r="48" spans="2:12" ht="15.6" customHeight="1" thickBot="1" x14ac:dyDescent="0.35">
      <c r="B48" s="144" t="s">
        <v>22</v>
      </c>
      <c r="C48" s="146">
        <v>2023</v>
      </c>
      <c r="D48" s="148" t="s">
        <v>186</v>
      </c>
      <c r="E48" s="150">
        <v>2024</v>
      </c>
      <c r="F48" s="148" t="s">
        <v>185</v>
      </c>
      <c r="G48" s="152">
        <v>2025</v>
      </c>
      <c r="H48" s="153"/>
      <c r="I48" s="154"/>
      <c r="J48" s="155" t="s">
        <v>184</v>
      </c>
      <c r="K48" s="142" t="s">
        <v>1</v>
      </c>
      <c r="L48" s="140" t="s">
        <v>2</v>
      </c>
    </row>
    <row r="49" spans="2:13" ht="45" x14ac:dyDescent="0.3">
      <c r="B49" s="145"/>
      <c r="C49" s="147"/>
      <c r="D49" s="149" t="s">
        <v>183</v>
      </c>
      <c r="E49" s="151"/>
      <c r="F49" s="149" t="s">
        <v>183</v>
      </c>
      <c r="G49" s="43" t="s">
        <v>3</v>
      </c>
      <c r="H49" s="43" t="s">
        <v>171</v>
      </c>
      <c r="I49" s="43" t="s">
        <v>4</v>
      </c>
      <c r="J49" s="156"/>
      <c r="K49" s="143"/>
      <c r="L49" s="141"/>
    </row>
    <row r="50" spans="2:13" x14ac:dyDescent="0.3">
      <c r="B50" s="64" t="s">
        <v>23</v>
      </c>
      <c r="C50" s="48">
        <v>635.1</v>
      </c>
      <c r="D50" s="49">
        <f t="shared" ref="D50:D60" si="8">(E50-C50)/C50</f>
        <v>-0.5067705873090852</v>
      </c>
      <c r="E50" s="48">
        <v>313.25</v>
      </c>
      <c r="F50" s="49">
        <f>(I50-E50)/E50</f>
        <v>0.17490822027134864</v>
      </c>
      <c r="G50" s="48">
        <v>178.81</v>
      </c>
      <c r="H50" s="48">
        <v>503.20428571428567</v>
      </c>
      <c r="I50" s="48">
        <v>368.03999999999996</v>
      </c>
      <c r="J50" s="55">
        <f t="shared" ref="J50:J59" si="9">(K50-I50)/I50</f>
        <v>0</v>
      </c>
      <c r="K50" s="53">
        <v>368.03999999999996</v>
      </c>
      <c r="L50" s="14">
        <f t="shared" ref="L50:L58" si="10">K50*12</f>
        <v>4416.4799999999996</v>
      </c>
    </row>
    <row r="51" spans="2:13" x14ac:dyDescent="0.3">
      <c r="B51" s="64" t="s">
        <v>24</v>
      </c>
      <c r="C51" s="48">
        <v>0</v>
      </c>
      <c r="D51" s="49" t="s">
        <v>170</v>
      </c>
      <c r="E51" s="48">
        <v>273.55</v>
      </c>
      <c r="F51" s="49">
        <f>(I51-E51)/E51</f>
        <v>-0.5678181928958751</v>
      </c>
      <c r="G51" s="48">
        <v>283.74</v>
      </c>
      <c r="H51" s="48">
        <v>0</v>
      </c>
      <c r="I51" s="48">
        <v>118.22333333333334</v>
      </c>
      <c r="J51" s="55">
        <f t="shared" si="9"/>
        <v>7.4999999999999956E-2</v>
      </c>
      <c r="K51" s="53">
        <v>127.09008333333334</v>
      </c>
      <c r="L51" s="14">
        <f t="shared" si="10"/>
        <v>1525.0810000000001</v>
      </c>
    </row>
    <row r="52" spans="2:13" x14ac:dyDescent="0.3">
      <c r="B52" s="64" t="s">
        <v>25</v>
      </c>
      <c r="C52" s="48">
        <v>0</v>
      </c>
      <c r="D52" s="49" t="s">
        <v>170</v>
      </c>
      <c r="E52" s="48">
        <v>0</v>
      </c>
      <c r="F52" s="49" t="s">
        <v>170</v>
      </c>
      <c r="G52" s="48">
        <v>1017.03</v>
      </c>
      <c r="H52" s="48">
        <v>2361.0414285714287</v>
      </c>
      <c r="I52" s="48">
        <v>1801.0383333333332</v>
      </c>
      <c r="J52" s="55">
        <f t="shared" si="9"/>
        <v>2.7185244067542604E-2</v>
      </c>
      <c r="K52" s="53">
        <v>1850</v>
      </c>
      <c r="L52" s="14">
        <f t="shared" si="10"/>
        <v>22200</v>
      </c>
    </row>
    <row r="53" spans="2:13" x14ac:dyDescent="0.3">
      <c r="B53" s="64" t="s">
        <v>26</v>
      </c>
      <c r="C53" s="48">
        <v>167.98</v>
      </c>
      <c r="D53" s="49">
        <f t="shared" si="8"/>
        <v>-1</v>
      </c>
      <c r="E53" s="48">
        <v>0</v>
      </c>
      <c r="F53" s="49" t="s">
        <v>170</v>
      </c>
      <c r="G53" s="48">
        <v>0</v>
      </c>
      <c r="H53" s="48">
        <v>0</v>
      </c>
      <c r="I53" s="48">
        <v>0</v>
      </c>
      <c r="J53" s="55" t="s">
        <v>170</v>
      </c>
      <c r="K53" s="53" t="s">
        <v>170</v>
      </c>
      <c r="L53" s="14" t="s">
        <v>170</v>
      </c>
    </row>
    <row r="54" spans="2:13" x14ac:dyDescent="0.3">
      <c r="B54" s="64" t="s">
        <v>206</v>
      </c>
      <c r="C54" s="48">
        <v>2937.86</v>
      </c>
      <c r="D54" s="49">
        <f t="shared" si="8"/>
        <v>3.6257684164664065E-2</v>
      </c>
      <c r="E54" s="48">
        <v>3044.38</v>
      </c>
      <c r="F54" s="49">
        <f>(I54-E54)/E54</f>
        <v>4.1077329374125379E-2</v>
      </c>
      <c r="G54" s="48">
        <v>1267.77</v>
      </c>
      <c r="H54" s="48">
        <v>4527.767142857143</v>
      </c>
      <c r="I54" s="48">
        <v>3169.4349999999999</v>
      </c>
      <c r="J54" s="55">
        <f t="shared" si="9"/>
        <v>5.0000000000000051E-2</v>
      </c>
      <c r="K54" s="53">
        <v>3327.9067500000001</v>
      </c>
      <c r="L54" s="14">
        <f t="shared" si="10"/>
        <v>39934.881000000001</v>
      </c>
    </row>
    <row r="55" spans="2:13" x14ac:dyDescent="0.3">
      <c r="B55" s="64" t="s">
        <v>207</v>
      </c>
      <c r="C55" s="48">
        <v>0</v>
      </c>
      <c r="D55" s="49" t="s">
        <v>170</v>
      </c>
      <c r="E55" s="48">
        <v>6.78</v>
      </c>
      <c r="F55" s="49" t="s">
        <v>170</v>
      </c>
      <c r="G55" s="48">
        <v>0</v>
      </c>
      <c r="H55" s="48">
        <v>0</v>
      </c>
      <c r="I55" s="48">
        <v>0</v>
      </c>
      <c r="J55" s="55" t="s">
        <v>170</v>
      </c>
      <c r="K55" s="53" t="s">
        <v>170</v>
      </c>
      <c r="L55" s="14" t="s">
        <v>170</v>
      </c>
    </row>
    <row r="56" spans="2:13" x14ac:dyDescent="0.3">
      <c r="B56" s="64" t="s">
        <v>208</v>
      </c>
      <c r="C56" s="48">
        <v>4.75</v>
      </c>
      <c r="D56" s="49">
        <f t="shared" si="8"/>
        <v>-1</v>
      </c>
      <c r="E56" s="48">
        <v>0</v>
      </c>
      <c r="F56" s="49" t="s">
        <v>170</v>
      </c>
      <c r="G56" s="48">
        <v>47.22</v>
      </c>
      <c r="H56" s="48">
        <v>0</v>
      </c>
      <c r="I56" s="48">
        <v>19.673333333333336</v>
      </c>
      <c r="J56" s="55">
        <f t="shared" si="9"/>
        <v>11.707556760420195</v>
      </c>
      <c r="K56" s="53">
        <v>250</v>
      </c>
      <c r="L56" s="14">
        <f t="shared" si="10"/>
        <v>3000</v>
      </c>
    </row>
    <row r="57" spans="2:13" x14ac:dyDescent="0.3">
      <c r="B57" s="64" t="s">
        <v>209</v>
      </c>
      <c r="C57" s="48">
        <v>0</v>
      </c>
      <c r="D57" s="49" t="s">
        <v>170</v>
      </c>
      <c r="E57" s="48">
        <v>0</v>
      </c>
      <c r="F57" s="49" t="s">
        <v>170</v>
      </c>
      <c r="G57" s="48">
        <v>0</v>
      </c>
      <c r="H57" s="48">
        <v>14.718571428571428</v>
      </c>
      <c r="I57" s="48">
        <v>8.5858333333333334</v>
      </c>
      <c r="J57" s="55" t="s">
        <v>170</v>
      </c>
      <c r="K57" s="53">
        <v>8.5858333333333334</v>
      </c>
      <c r="L57" s="14">
        <f t="shared" si="10"/>
        <v>103.03</v>
      </c>
    </row>
    <row r="58" spans="2:13" x14ac:dyDescent="0.3">
      <c r="B58" s="64" t="s">
        <v>210</v>
      </c>
      <c r="C58" s="48">
        <v>0</v>
      </c>
      <c r="D58" s="49" t="s">
        <v>170</v>
      </c>
      <c r="E58" s="48">
        <v>0</v>
      </c>
      <c r="F58" s="49" t="s">
        <v>170</v>
      </c>
      <c r="G58" s="48">
        <v>0</v>
      </c>
      <c r="H58" s="48">
        <v>772.04</v>
      </c>
      <c r="I58" s="48">
        <v>450.35666666666663</v>
      </c>
      <c r="J58" s="55">
        <f t="shared" si="9"/>
        <v>0.7985744632032391</v>
      </c>
      <c r="K58" s="53">
        <v>810</v>
      </c>
      <c r="L58" s="14">
        <f t="shared" si="10"/>
        <v>9720</v>
      </c>
    </row>
    <row r="59" spans="2:13" ht="15.75" thickBot="1" x14ac:dyDescent="0.35">
      <c r="B59" s="64" t="s">
        <v>211</v>
      </c>
      <c r="C59" s="48">
        <v>7.75</v>
      </c>
      <c r="D59" s="49">
        <f t="shared" si="8"/>
        <v>-1</v>
      </c>
      <c r="E59" s="48">
        <v>0</v>
      </c>
      <c r="F59" s="49" t="s">
        <v>170</v>
      </c>
      <c r="G59" s="48">
        <v>0</v>
      </c>
      <c r="H59" s="48">
        <v>85.714285714285708</v>
      </c>
      <c r="I59" s="48">
        <v>50</v>
      </c>
      <c r="J59" s="55">
        <f t="shared" si="9"/>
        <v>0.05</v>
      </c>
      <c r="K59" s="53">
        <v>52.5</v>
      </c>
      <c r="L59" s="14">
        <f>K59*12</f>
        <v>630</v>
      </c>
    </row>
    <row r="60" spans="2:13" ht="17.25" thickBot="1" x14ac:dyDescent="0.35">
      <c r="B60" s="58" t="s">
        <v>178</v>
      </c>
      <c r="C60" s="59">
        <f>SUM(C50:C59)</f>
        <v>3753.44</v>
      </c>
      <c r="D60" s="60">
        <f t="shared" si="8"/>
        <v>-3.0766443582420276E-2</v>
      </c>
      <c r="E60" s="59">
        <f>SUM(E50:E59)</f>
        <v>3637.9600000000005</v>
      </c>
      <c r="F60" s="60">
        <f>(G60-E60)/E60</f>
        <v>-0.23183047642085142</v>
      </c>
      <c r="G60" s="59">
        <f>SUM(G50:G59)</f>
        <v>2794.5699999999997</v>
      </c>
      <c r="H60" s="59">
        <f>SUM(H50:H59)</f>
        <v>8264.4857142857145</v>
      </c>
      <c r="I60" s="59">
        <f>SUM(I50:I59)</f>
        <v>5985.3524999999991</v>
      </c>
      <c r="J60" s="63">
        <f>(K60-I60)/I60</f>
        <v>0.13512490144342679</v>
      </c>
      <c r="K60" s="59">
        <f>SUM(K50:K59)</f>
        <v>6794.1226666666671</v>
      </c>
      <c r="L60" s="62">
        <f>K60*12</f>
        <v>81529.472000000009</v>
      </c>
    </row>
    <row r="61" spans="2:13" ht="15.75" thickBot="1" x14ac:dyDescent="0.35">
      <c r="B61" s="144" t="s">
        <v>27</v>
      </c>
      <c r="C61" s="146">
        <v>2023</v>
      </c>
      <c r="D61" s="148" t="s">
        <v>186</v>
      </c>
      <c r="E61" s="150">
        <v>2024</v>
      </c>
      <c r="F61" s="148" t="s">
        <v>185</v>
      </c>
      <c r="G61" s="152">
        <v>2025</v>
      </c>
      <c r="H61" s="153"/>
      <c r="I61" s="154"/>
      <c r="J61" s="155" t="s">
        <v>184</v>
      </c>
      <c r="K61" s="142" t="s">
        <v>1</v>
      </c>
      <c r="L61" s="140" t="s">
        <v>2</v>
      </c>
    </row>
    <row r="62" spans="2:13" ht="45" x14ac:dyDescent="0.3">
      <c r="B62" s="145"/>
      <c r="C62" s="147"/>
      <c r="D62" s="149" t="s">
        <v>183</v>
      </c>
      <c r="E62" s="151"/>
      <c r="F62" s="149" t="s">
        <v>183</v>
      </c>
      <c r="G62" s="43" t="s">
        <v>3</v>
      </c>
      <c r="H62" s="43" t="s">
        <v>171</v>
      </c>
      <c r="I62" s="43" t="s">
        <v>4</v>
      </c>
      <c r="J62" s="156"/>
      <c r="K62" s="143"/>
      <c r="L62" s="141"/>
    </row>
    <row r="63" spans="2:13" x14ac:dyDescent="0.3">
      <c r="B63" s="10" t="s">
        <v>222</v>
      </c>
      <c r="C63" s="11">
        <v>4417.9799999999996</v>
      </c>
      <c r="D63" s="49">
        <f t="shared" ref="D63:D111" si="11">(E63-C63)/C63</f>
        <v>2.2806803109113268E-2</v>
      </c>
      <c r="E63" s="11">
        <v>4518.74</v>
      </c>
      <c r="F63" s="49">
        <f t="shared" ref="F63:F111" si="12">(I63-E63)/E63</f>
        <v>0.15421924400754811</v>
      </c>
      <c r="G63" s="11">
        <v>4759.2420000000002</v>
      </c>
      <c r="H63" s="11">
        <v>5541.5985714285716</v>
      </c>
      <c r="I63" s="11">
        <v>5215.6166666666677</v>
      </c>
      <c r="J63" s="55">
        <f t="shared" ref="J63:J110" si="13">(K63-I63)/I63</f>
        <v>0.1064386761552643</v>
      </c>
      <c r="K63" s="53">
        <v>5770.76</v>
      </c>
      <c r="L63" s="14">
        <f t="shared" ref="L63:L109" si="14">K63*12</f>
        <v>69249.119999999995</v>
      </c>
      <c r="M63" s="84"/>
    </row>
    <row r="64" spans="2:13" x14ac:dyDescent="0.3">
      <c r="B64" s="10" t="s">
        <v>223</v>
      </c>
      <c r="C64" s="11">
        <v>3779.43</v>
      </c>
      <c r="D64" s="49">
        <f t="shared" si="11"/>
        <v>0.1295433438375628</v>
      </c>
      <c r="E64" s="11">
        <v>4269.03</v>
      </c>
      <c r="F64" s="49">
        <f t="shared" si="12"/>
        <v>4.6148851924988306E-2</v>
      </c>
      <c r="G64" s="11">
        <v>4501.9139999999998</v>
      </c>
      <c r="H64" s="11">
        <v>4440.4171428571435</v>
      </c>
      <c r="I64" s="11">
        <v>4466.0408333333326</v>
      </c>
      <c r="J64" s="55">
        <f t="shared" si="13"/>
        <v>4.0431597785436091E-2</v>
      </c>
      <c r="K64" s="53">
        <v>4646.6099999999997</v>
      </c>
      <c r="L64" s="14">
        <f t="shared" si="14"/>
        <v>55759.319999999992</v>
      </c>
    </row>
    <row r="65" spans="1:12" x14ac:dyDescent="0.3">
      <c r="B65" s="10" t="s">
        <v>224</v>
      </c>
      <c r="C65" s="11">
        <v>3665.22</v>
      </c>
      <c r="D65" s="49">
        <f t="shared" si="11"/>
        <v>2.9872695227026003E-2</v>
      </c>
      <c r="E65" s="11">
        <v>3774.71</v>
      </c>
      <c r="F65" s="49">
        <f t="shared" si="12"/>
        <v>0.20298071463326525</v>
      </c>
      <c r="G65" s="11">
        <v>3975.0459999999998</v>
      </c>
      <c r="H65" s="11">
        <v>4945.0871428571427</v>
      </c>
      <c r="I65" s="11">
        <v>4540.9033333333327</v>
      </c>
      <c r="J65" s="55">
        <f t="shared" si="13"/>
        <v>2.3278774928043013E-2</v>
      </c>
      <c r="K65" s="53">
        <v>4646.6099999999997</v>
      </c>
      <c r="L65" s="14">
        <f t="shared" si="14"/>
        <v>55759.319999999992</v>
      </c>
    </row>
    <row r="66" spans="1:12" x14ac:dyDescent="0.3">
      <c r="B66" s="10" t="s">
        <v>28</v>
      </c>
      <c r="C66" s="11">
        <v>10189.02</v>
      </c>
      <c r="D66" s="49">
        <f t="shared" si="11"/>
        <v>3.6617849410443826E-2</v>
      </c>
      <c r="E66" s="11">
        <v>10562.12</v>
      </c>
      <c r="F66" s="49">
        <f t="shared" si="12"/>
        <v>3.122274063666497E-2</v>
      </c>
      <c r="G66" s="11">
        <v>10518.766</v>
      </c>
      <c r="H66" s="11">
        <v>11158.421428571428</v>
      </c>
      <c r="I66" s="11">
        <v>10891.898333333333</v>
      </c>
      <c r="J66" s="55">
        <f t="shared" si="13"/>
        <v>0</v>
      </c>
      <c r="K66" s="53">
        <v>10891.898333333333</v>
      </c>
      <c r="L66" s="14">
        <f t="shared" si="14"/>
        <v>130702.78</v>
      </c>
    </row>
    <row r="67" spans="1:12" x14ac:dyDescent="0.3">
      <c r="B67" s="10" t="s">
        <v>29</v>
      </c>
      <c r="C67" s="11">
        <v>31.66</v>
      </c>
      <c r="D67" s="49">
        <f t="shared" si="11"/>
        <v>-0.71036007580543281</v>
      </c>
      <c r="E67" s="11">
        <v>9.17</v>
      </c>
      <c r="F67" s="49">
        <f t="shared" si="12"/>
        <v>4.456288622319156</v>
      </c>
      <c r="G67" s="11">
        <v>120.08199999999999</v>
      </c>
      <c r="H67" s="11">
        <v>0</v>
      </c>
      <c r="I67" s="11">
        <f>G67*5/12</f>
        <v>50.034166666666664</v>
      </c>
      <c r="J67" s="12">
        <v>0</v>
      </c>
      <c r="K67" s="13">
        <f>(I67*J67)+I67</f>
        <v>50.034166666666664</v>
      </c>
      <c r="L67" s="14">
        <f t="shared" si="14"/>
        <v>600.41</v>
      </c>
    </row>
    <row r="68" spans="1:12" x14ac:dyDescent="0.3">
      <c r="B68" s="10" t="s">
        <v>30</v>
      </c>
      <c r="C68" s="11">
        <v>216.39</v>
      </c>
      <c r="D68" s="49">
        <f t="shared" si="11"/>
        <v>-0.38010074402698835</v>
      </c>
      <c r="E68" s="11">
        <v>134.13999999999999</v>
      </c>
      <c r="F68" s="49">
        <f t="shared" si="12"/>
        <v>-0.60579121316037965</v>
      </c>
      <c r="G68" s="11">
        <v>54.39</v>
      </c>
      <c r="H68" s="11">
        <v>51.800000000000004</v>
      </c>
      <c r="I68" s="11">
        <v>52.87916666666667</v>
      </c>
      <c r="J68" s="55">
        <f t="shared" si="13"/>
        <v>0</v>
      </c>
      <c r="K68" s="53">
        <v>52.87916666666667</v>
      </c>
      <c r="L68" s="14">
        <f t="shared" si="14"/>
        <v>634.55000000000007</v>
      </c>
    </row>
    <row r="69" spans="1:12" x14ac:dyDescent="0.3">
      <c r="B69" s="10" t="s">
        <v>31</v>
      </c>
      <c r="C69" s="11">
        <v>23.98</v>
      </c>
      <c r="D69" s="49" t="s">
        <v>170</v>
      </c>
      <c r="E69" s="11">
        <v>0</v>
      </c>
      <c r="F69" s="49" t="s">
        <v>170</v>
      </c>
      <c r="G69" s="11">
        <v>0</v>
      </c>
      <c r="H69" s="11">
        <v>0</v>
      </c>
      <c r="I69" s="11">
        <v>0</v>
      </c>
      <c r="J69" s="55" t="s">
        <v>170</v>
      </c>
      <c r="K69" s="53" t="s">
        <v>170</v>
      </c>
      <c r="L69" s="14" t="s">
        <v>170</v>
      </c>
    </row>
    <row r="70" spans="1:12" x14ac:dyDescent="0.3">
      <c r="B70" s="38" t="s">
        <v>225</v>
      </c>
      <c r="C70" s="11">
        <v>11.5</v>
      </c>
      <c r="D70" s="85">
        <f t="shared" si="11"/>
        <v>1.0286956521739128</v>
      </c>
      <c r="E70" s="11">
        <v>23.33</v>
      </c>
      <c r="F70" s="85">
        <f t="shared" si="12"/>
        <v>4.1902057436776685</v>
      </c>
      <c r="G70" s="11">
        <v>257.81</v>
      </c>
      <c r="H70" s="11">
        <v>23.428571428571427</v>
      </c>
      <c r="I70" s="11">
        <v>121.08749999999999</v>
      </c>
      <c r="J70" s="55">
        <f t="shared" si="13"/>
        <v>4.0000000000000049E-2</v>
      </c>
      <c r="K70" s="57">
        <v>125.931</v>
      </c>
      <c r="L70" s="14">
        <f t="shared" si="14"/>
        <v>1511.172</v>
      </c>
    </row>
    <row r="71" spans="1:12" x14ac:dyDescent="0.3">
      <c r="A71" s="83"/>
      <c r="B71" s="38" t="s">
        <v>226</v>
      </c>
      <c r="C71" s="11">
        <v>304.45</v>
      </c>
      <c r="D71" s="85">
        <f t="shared" si="11"/>
        <v>2.0245360486122519</v>
      </c>
      <c r="E71" s="11">
        <v>920.82</v>
      </c>
      <c r="F71" s="85">
        <f t="shared" si="12"/>
        <v>1.3361632385627302</v>
      </c>
      <c r="G71" s="11">
        <v>3492.808</v>
      </c>
      <c r="H71" s="11">
        <v>1192.8842857142856</v>
      </c>
      <c r="I71" s="11">
        <v>2151.1858333333334</v>
      </c>
      <c r="J71" s="55">
        <f t="shared" si="13"/>
        <v>-0.32223428705795221</v>
      </c>
      <c r="K71" s="57">
        <v>1458</v>
      </c>
      <c r="L71" s="14">
        <f t="shared" si="14"/>
        <v>17496</v>
      </c>
    </row>
    <row r="72" spans="1:12" x14ac:dyDescent="0.3">
      <c r="B72" s="10" t="s">
        <v>227</v>
      </c>
      <c r="C72" s="11">
        <v>28.96</v>
      </c>
      <c r="D72" s="49">
        <f t="shared" si="11"/>
        <v>-0.71236187845303878</v>
      </c>
      <c r="E72" s="11">
        <v>8.33</v>
      </c>
      <c r="F72" s="49">
        <f t="shared" si="12"/>
        <v>1.5770308123249301</v>
      </c>
      <c r="G72" s="11">
        <v>35.520000000000003</v>
      </c>
      <c r="H72" s="11">
        <v>11.428571428571429</v>
      </c>
      <c r="I72" s="11">
        <v>21.466666666666669</v>
      </c>
      <c r="J72" s="55">
        <f t="shared" si="13"/>
        <v>0.16459627329192536</v>
      </c>
      <c r="K72" s="53">
        <v>25</v>
      </c>
      <c r="L72" s="14">
        <f t="shared" si="14"/>
        <v>300</v>
      </c>
    </row>
    <row r="73" spans="1:12" x14ac:dyDescent="0.3">
      <c r="B73" s="10" t="s">
        <v>32</v>
      </c>
      <c r="C73" s="11">
        <v>851.23</v>
      </c>
      <c r="D73" s="49">
        <f t="shared" si="11"/>
        <v>3.7099256370193637E-2</v>
      </c>
      <c r="E73" s="11">
        <v>882.81</v>
      </c>
      <c r="F73" s="49">
        <f t="shared" si="12"/>
        <v>-0.33321061912151712</v>
      </c>
      <c r="G73" s="11">
        <v>0</v>
      </c>
      <c r="H73" s="11">
        <v>1009.1114285714286</v>
      </c>
      <c r="I73" s="11">
        <v>588.64833333333343</v>
      </c>
      <c r="J73" s="55">
        <f t="shared" si="13"/>
        <v>3.999999999999998E-2</v>
      </c>
      <c r="K73" s="53">
        <v>612.19426666666675</v>
      </c>
      <c r="L73" s="14">
        <f t="shared" si="14"/>
        <v>7346.3312000000005</v>
      </c>
    </row>
    <row r="74" spans="1:12" x14ac:dyDescent="0.3">
      <c r="B74" s="10" t="s">
        <v>33</v>
      </c>
      <c r="C74" s="11">
        <v>329.56</v>
      </c>
      <c r="D74" s="49">
        <f t="shared" si="11"/>
        <v>-0.27266658575069797</v>
      </c>
      <c r="E74" s="11">
        <v>239.7</v>
      </c>
      <c r="F74" s="49">
        <f t="shared" si="12"/>
        <v>0.72028229731608973</v>
      </c>
      <c r="G74" s="11">
        <v>868.12599999999998</v>
      </c>
      <c r="H74" s="11">
        <v>86.798571428571435</v>
      </c>
      <c r="I74" s="11">
        <v>412.35166666666669</v>
      </c>
      <c r="J74" s="55">
        <f t="shared" si="13"/>
        <v>3.9999999999999931E-2</v>
      </c>
      <c r="K74" s="53">
        <v>428.84573333333333</v>
      </c>
      <c r="L74" s="14">
        <f t="shared" si="14"/>
        <v>5146.1487999999999</v>
      </c>
    </row>
    <row r="75" spans="1:12" x14ac:dyDescent="0.3">
      <c r="B75" s="10" t="s">
        <v>34</v>
      </c>
      <c r="C75" s="11">
        <v>145.66999999999999</v>
      </c>
      <c r="D75" s="49" t="s">
        <v>170</v>
      </c>
      <c r="E75" s="11">
        <v>0</v>
      </c>
      <c r="F75" s="49" t="s">
        <v>170</v>
      </c>
      <c r="G75" s="11">
        <v>0</v>
      </c>
      <c r="H75" s="11">
        <v>0</v>
      </c>
      <c r="I75" s="11">
        <v>0</v>
      </c>
      <c r="J75" s="55" t="s">
        <v>170</v>
      </c>
      <c r="K75" s="53" t="s">
        <v>170</v>
      </c>
      <c r="L75" s="14" t="s">
        <v>170</v>
      </c>
    </row>
    <row r="76" spans="1:12" x14ac:dyDescent="0.3">
      <c r="B76" s="38" t="s">
        <v>35</v>
      </c>
      <c r="C76" s="11">
        <v>178.36</v>
      </c>
      <c r="D76" s="49">
        <f t="shared" si="11"/>
        <v>1.4720789414666964</v>
      </c>
      <c r="E76" s="11">
        <v>440.92</v>
      </c>
      <c r="F76" s="49">
        <f t="shared" si="12"/>
        <v>0.140082101061417</v>
      </c>
      <c r="G76" s="11">
        <v>83.168000000000006</v>
      </c>
      <c r="H76" s="11">
        <v>802.34</v>
      </c>
      <c r="I76" s="11">
        <v>502.685</v>
      </c>
      <c r="J76" s="55" t="s">
        <v>170</v>
      </c>
      <c r="K76" s="53" t="s">
        <v>170</v>
      </c>
      <c r="L76" s="14" t="s">
        <v>170</v>
      </c>
    </row>
    <row r="77" spans="1:12" x14ac:dyDescent="0.3">
      <c r="B77" s="10" t="s">
        <v>36</v>
      </c>
      <c r="C77" s="11">
        <v>20.170000000000002</v>
      </c>
      <c r="D77" s="49" t="s">
        <v>170</v>
      </c>
      <c r="E77" s="11">
        <v>0</v>
      </c>
      <c r="F77" s="49" t="s">
        <v>170</v>
      </c>
      <c r="G77" s="11">
        <v>80</v>
      </c>
      <c r="H77" s="11">
        <v>0</v>
      </c>
      <c r="I77" s="11">
        <v>33.333333333333336</v>
      </c>
      <c r="J77" s="55">
        <f t="shared" si="13"/>
        <v>4.000000000000007E-2</v>
      </c>
      <c r="K77" s="53">
        <v>34.666666666666671</v>
      </c>
      <c r="L77" s="14">
        <f t="shared" si="14"/>
        <v>416.00000000000006</v>
      </c>
    </row>
    <row r="78" spans="1:12" x14ac:dyDescent="0.3">
      <c r="B78" s="10" t="s">
        <v>37</v>
      </c>
      <c r="C78" s="11">
        <v>930.78</v>
      </c>
      <c r="D78" s="49">
        <f t="shared" si="11"/>
        <v>-0.56701905928361163</v>
      </c>
      <c r="E78" s="11">
        <v>403.01</v>
      </c>
      <c r="F78" s="49">
        <f t="shared" si="12"/>
        <v>-0.19184180706847653</v>
      </c>
      <c r="G78" s="11">
        <v>438.76600000000002</v>
      </c>
      <c r="H78" s="11">
        <v>244.93142857142857</v>
      </c>
      <c r="I78" s="11">
        <v>325.69583333333327</v>
      </c>
      <c r="J78" s="55">
        <f t="shared" si="13"/>
        <v>4.1999999999999926E-2</v>
      </c>
      <c r="K78" s="53">
        <v>339.37505833333324</v>
      </c>
      <c r="L78" s="14">
        <f t="shared" si="14"/>
        <v>4072.5006999999987</v>
      </c>
    </row>
    <row r="79" spans="1:12" x14ac:dyDescent="0.3">
      <c r="B79" s="10" t="s">
        <v>38</v>
      </c>
      <c r="C79" s="11">
        <v>496.65</v>
      </c>
      <c r="D79" s="49">
        <f t="shared" si="11"/>
        <v>-0.40849692942716198</v>
      </c>
      <c r="E79" s="11">
        <v>293.77</v>
      </c>
      <c r="F79" s="49">
        <f t="shared" si="12"/>
        <v>2.8354750314872188</v>
      </c>
      <c r="G79" s="11">
        <v>1743.9880000000001</v>
      </c>
      <c r="H79" s="11">
        <v>685.86142857142852</v>
      </c>
      <c r="I79" s="11">
        <v>1126.7475000000002</v>
      </c>
      <c r="J79" s="55">
        <f t="shared" si="13"/>
        <v>-0.55624485521379019</v>
      </c>
      <c r="K79" s="53">
        <v>500</v>
      </c>
      <c r="L79" s="14">
        <f t="shared" si="14"/>
        <v>6000</v>
      </c>
    </row>
    <row r="80" spans="1:12" x14ac:dyDescent="0.3">
      <c r="B80" s="38" t="s">
        <v>39</v>
      </c>
      <c r="C80" s="11">
        <v>0</v>
      </c>
      <c r="D80" s="49" t="s">
        <v>170</v>
      </c>
      <c r="E80" s="11">
        <v>144.79</v>
      </c>
      <c r="F80" s="49">
        <f t="shared" si="12"/>
        <v>1.1510923866739077E-5</v>
      </c>
      <c r="G80" s="11">
        <v>0</v>
      </c>
      <c r="H80" s="11">
        <v>248.21428571428572</v>
      </c>
      <c r="I80" s="11">
        <v>144.79166666666666</v>
      </c>
      <c r="J80" s="55" t="s">
        <v>170</v>
      </c>
      <c r="K80" s="53" t="s">
        <v>170</v>
      </c>
      <c r="L80" s="14" t="s">
        <v>170</v>
      </c>
    </row>
    <row r="81" spans="1:12" x14ac:dyDescent="0.3">
      <c r="A81" s="83"/>
      <c r="B81" s="38" t="s">
        <v>40</v>
      </c>
      <c r="C81" s="11">
        <v>3798.61</v>
      </c>
      <c r="D81" s="85">
        <f t="shared" si="11"/>
        <v>0.13523894266586983</v>
      </c>
      <c r="E81" s="11">
        <v>4312.33</v>
      </c>
      <c r="F81" s="85">
        <f t="shared" si="12"/>
        <v>0.18956785929339057</v>
      </c>
      <c r="G81" s="11">
        <v>4856.3999999999996</v>
      </c>
      <c r="H81" s="11">
        <v>5325.1014285714282</v>
      </c>
      <c r="I81" s="11">
        <v>5129.8091666666669</v>
      </c>
      <c r="J81" s="55">
        <f t="shared" si="13"/>
        <v>0.25423769012849889</v>
      </c>
      <c r="K81" s="57">
        <v>6434</v>
      </c>
      <c r="L81" s="14">
        <f t="shared" si="14"/>
        <v>77208</v>
      </c>
    </row>
    <row r="82" spans="1:12" x14ac:dyDescent="0.3">
      <c r="B82" s="38" t="s">
        <v>41</v>
      </c>
      <c r="C82" s="11">
        <v>15.31</v>
      </c>
      <c r="D82" s="49">
        <f t="shared" si="11"/>
        <v>107.9810581319399</v>
      </c>
      <c r="E82" s="11">
        <v>1668.5</v>
      </c>
      <c r="F82" s="49">
        <f t="shared" si="12"/>
        <v>0.35672210568374801</v>
      </c>
      <c r="G82" s="11">
        <v>1224</v>
      </c>
      <c r="H82" s="11">
        <v>3006.3271428571429</v>
      </c>
      <c r="I82" s="11">
        <v>2263.6908333333336</v>
      </c>
      <c r="J82" s="55" t="s">
        <v>170</v>
      </c>
      <c r="K82" s="53" t="s">
        <v>170</v>
      </c>
      <c r="L82" s="14" t="s">
        <v>170</v>
      </c>
    </row>
    <row r="83" spans="1:12" x14ac:dyDescent="0.3">
      <c r="B83" s="38" t="s">
        <v>182</v>
      </c>
      <c r="C83" s="11">
        <v>2265.35</v>
      </c>
      <c r="D83" s="49">
        <f t="shared" si="11"/>
        <v>-4.9855430728143579E-2</v>
      </c>
      <c r="E83" s="11">
        <v>2152.41</v>
      </c>
      <c r="F83" s="49">
        <f t="shared" si="12"/>
        <v>0.27463633787243125</v>
      </c>
      <c r="G83" s="11">
        <v>2300</v>
      </c>
      <c r="H83" s="11">
        <v>3060.3542857142857</v>
      </c>
      <c r="I83" s="11">
        <v>2743.5399999999995</v>
      </c>
      <c r="J83" s="55">
        <f t="shared" si="13"/>
        <v>0.64021665439541642</v>
      </c>
      <c r="K83" s="53">
        <v>4500</v>
      </c>
      <c r="L83" s="14">
        <f t="shared" si="14"/>
        <v>54000</v>
      </c>
    </row>
    <row r="84" spans="1:12" x14ac:dyDescent="0.3">
      <c r="B84" s="10" t="s">
        <v>42</v>
      </c>
      <c r="C84" s="11">
        <v>2.0499999999999998</v>
      </c>
      <c r="D84" s="49" t="s">
        <v>170</v>
      </c>
      <c r="E84" s="11">
        <v>0</v>
      </c>
      <c r="F84" s="49" t="s">
        <v>170</v>
      </c>
      <c r="G84" s="11">
        <v>0</v>
      </c>
      <c r="H84" s="11">
        <v>0</v>
      </c>
      <c r="I84" s="11">
        <v>0</v>
      </c>
      <c r="J84" s="55" t="s">
        <v>170</v>
      </c>
      <c r="K84" s="53" t="s">
        <v>170</v>
      </c>
      <c r="L84" s="14" t="s">
        <v>170</v>
      </c>
    </row>
    <row r="85" spans="1:12" x14ac:dyDescent="0.3">
      <c r="B85" s="10" t="s">
        <v>43</v>
      </c>
      <c r="C85" s="11">
        <v>213.32</v>
      </c>
      <c r="D85" s="49">
        <f t="shared" si="11"/>
        <v>2.8456309769360586</v>
      </c>
      <c r="E85" s="11">
        <v>820.35</v>
      </c>
      <c r="F85" s="49">
        <f t="shared" si="12"/>
        <v>0.82317608337904535</v>
      </c>
      <c r="G85" s="11">
        <v>228</v>
      </c>
      <c r="H85" s="11">
        <v>2401.1014285714286</v>
      </c>
      <c r="I85" s="11">
        <v>1495.6424999999999</v>
      </c>
      <c r="J85" s="55">
        <f t="shared" si="13"/>
        <v>-0.43168237061998438</v>
      </c>
      <c r="K85" s="53">
        <v>850</v>
      </c>
      <c r="L85" s="14">
        <f t="shared" si="14"/>
        <v>10200</v>
      </c>
    </row>
    <row r="86" spans="1:12" x14ac:dyDescent="0.3">
      <c r="B86" s="10" t="s">
        <v>44</v>
      </c>
      <c r="C86" s="11">
        <v>82.5</v>
      </c>
      <c r="D86" s="49">
        <f t="shared" si="11"/>
        <v>-0.79793939393939395</v>
      </c>
      <c r="E86" s="11">
        <v>16.670000000000002</v>
      </c>
      <c r="F86" s="49" t="s">
        <v>170</v>
      </c>
      <c r="G86" s="11">
        <v>0</v>
      </c>
      <c r="H86" s="11">
        <v>0</v>
      </c>
      <c r="I86" s="11">
        <v>0</v>
      </c>
      <c r="J86" s="55" t="s">
        <v>170</v>
      </c>
      <c r="K86" s="53" t="s">
        <v>170</v>
      </c>
      <c r="L86" s="14" t="s">
        <v>170</v>
      </c>
    </row>
    <row r="87" spans="1:12" x14ac:dyDescent="0.3">
      <c r="B87" s="10" t="s">
        <v>45</v>
      </c>
      <c r="C87" s="11">
        <v>48.17</v>
      </c>
      <c r="D87" s="49">
        <f t="shared" si="11"/>
        <v>0.17998754411459417</v>
      </c>
      <c r="E87" s="11">
        <v>56.84</v>
      </c>
      <c r="F87" s="49">
        <f t="shared" si="12"/>
        <v>0.44090136054421769</v>
      </c>
      <c r="G87" s="11">
        <v>127.55200000000001</v>
      </c>
      <c r="H87" s="11">
        <v>49.292857142857137</v>
      </c>
      <c r="I87" s="11">
        <v>81.900833333333338</v>
      </c>
      <c r="J87" s="55">
        <f t="shared" si="13"/>
        <v>0.22098879742778352</v>
      </c>
      <c r="K87" s="53">
        <v>100</v>
      </c>
      <c r="L87" s="14">
        <f t="shared" si="14"/>
        <v>1200</v>
      </c>
    </row>
    <row r="88" spans="1:12" x14ac:dyDescent="0.3">
      <c r="B88" s="10" t="s">
        <v>46</v>
      </c>
      <c r="C88" s="11">
        <v>643.5</v>
      </c>
      <c r="D88" s="49">
        <f t="shared" si="11"/>
        <v>-0.28270396270396275</v>
      </c>
      <c r="E88" s="11">
        <v>461.58</v>
      </c>
      <c r="F88" s="49">
        <f t="shared" si="12"/>
        <v>0.62212400883920482</v>
      </c>
      <c r="G88" s="11">
        <v>1447.7760000000001</v>
      </c>
      <c r="H88" s="11">
        <v>249.42857142857142</v>
      </c>
      <c r="I88" s="11">
        <v>748.74000000000012</v>
      </c>
      <c r="J88" s="55">
        <f t="shared" si="13"/>
        <v>-0.53254801399684815</v>
      </c>
      <c r="K88" s="53">
        <v>350</v>
      </c>
      <c r="L88" s="14">
        <f t="shared" si="14"/>
        <v>4200</v>
      </c>
    </row>
    <row r="89" spans="1:12" x14ac:dyDescent="0.3">
      <c r="B89" s="10" t="s">
        <v>47</v>
      </c>
      <c r="C89" s="11">
        <v>0</v>
      </c>
      <c r="D89" s="49" t="s">
        <v>170</v>
      </c>
      <c r="E89" s="11">
        <v>456.34</v>
      </c>
      <c r="F89" s="49">
        <f t="shared" si="12"/>
        <v>-0.13209449094973041</v>
      </c>
      <c r="G89" s="11">
        <v>673.84400000000005</v>
      </c>
      <c r="H89" s="11">
        <v>197.64285714285714</v>
      </c>
      <c r="I89" s="11">
        <v>396.06</v>
      </c>
      <c r="J89" s="55">
        <f t="shared" si="13"/>
        <v>0</v>
      </c>
      <c r="K89" s="53">
        <v>396.06</v>
      </c>
      <c r="L89" s="14">
        <f t="shared" si="14"/>
        <v>4752.72</v>
      </c>
    </row>
    <row r="90" spans="1:12" x14ac:dyDescent="0.3">
      <c r="B90" s="10" t="s">
        <v>48</v>
      </c>
      <c r="C90" s="11">
        <v>2711.24</v>
      </c>
      <c r="D90" s="49">
        <f t="shared" si="11"/>
        <v>-1.6752482259040004E-2</v>
      </c>
      <c r="E90" s="11">
        <v>2665.82</v>
      </c>
      <c r="F90" s="49">
        <f t="shared" si="12"/>
        <v>5.9614865219707304E-2</v>
      </c>
      <c r="G90" s="11">
        <v>2787.3820000000001</v>
      </c>
      <c r="H90" s="11">
        <v>2851.4285714285716</v>
      </c>
      <c r="I90" s="11">
        <v>2824.7425000000003</v>
      </c>
      <c r="J90" s="55">
        <f t="shared" si="13"/>
        <v>5.0000000000000031E-2</v>
      </c>
      <c r="K90" s="53">
        <v>2965.9796250000004</v>
      </c>
      <c r="L90" s="14">
        <f t="shared" si="14"/>
        <v>35591.755500000007</v>
      </c>
    </row>
    <row r="91" spans="1:12" x14ac:dyDescent="0.3">
      <c r="B91" s="38" t="s">
        <v>49</v>
      </c>
      <c r="C91" s="11">
        <v>0</v>
      </c>
      <c r="D91" s="49" t="s">
        <v>170</v>
      </c>
      <c r="E91" s="11">
        <v>0</v>
      </c>
      <c r="F91" s="49" t="s">
        <v>170</v>
      </c>
      <c r="G91" s="11">
        <v>0</v>
      </c>
      <c r="H91" s="11">
        <v>20.511428571428571</v>
      </c>
      <c r="I91" s="11">
        <v>11.964999999999998</v>
      </c>
      <c r="J91" s="55">
        <f t="shared" si="13"/>
        <v>0.67154199749268728</v>
      </c>
      <c r="K91" s="53">
        <v>20</v>
      </c>
      <c r="L91" s="14">
        <f t="shared" si="14"/>
        <v>240</v>
      </c>
    </row>
    <row r="92" spans="1:12" x14ac:dyDescent="0.3">
      <c r="B92" s="38" t="s">
        <v>50</v>
      </c>
      <c r="C92" s="11">
        <v>0</v>
      </c>
      <c r="D92" s="49" t="s">
        <v>170</v>
      </c>
      <c r="E92" s="11">
        <v>83.33</v>
      </c>
      <c r="F92" s="49">
        <f t="shared" si="12"/>
        <v>-0.22722908916356657</v>
      </c>
      <c r="G92" s="11">
        <v>95</v>
      </c>
      <c r="H92" s="11">
        <v>42.534285714285716</v>
      </c>
      <c r="I92" s="11">
        <v>64.394999999999996</v>
      </c>
      <c r="J92" s="55">
        <f t="shared" si="13"/>
        <v>0.55291559903719245</v>
      </c>
      <c r="K92" s="53">
        <v>100</v>
      </c>
      <c r="L92" s="14">
        <f t="shared" si="14"/>
        <v>1200</v>
      </c>
    </row>
    <row r="93" spans="1:12" x14ac:dyDescent="0.3">
      <c r="B93" s="38" t="s">
        <v>51</v>
      </c>
      <c r="C93" s="11">
        <v>67.56</v>
      </c>
      <c r="D93" s="49">
        <f t="shared" si="11"/>
        <v>-3.3491711071640022</v>
      </c>
      <c r="E93" s="11">
        <v>-158.71</v>
      </c>
      <c r="F93" s="49">
        <f t="shared" si="12"/>
        <v>-0.50629029886795618</v>
      </c>
      <c r="G93" s="11">
        <v>-165.226</v>
      </c>
      <c r="H93" s="11">
        <v>-16.307142857142857</v>
      </c>
      <c r="I93" s="11">
        <v>-78.356666666666683</v>
      </c>
      <c r="J93" s="55" t="s">
        <v>170</v>
      </c>
      <c r="K93" s="53" t="s">
        <v>170</v>
      </c>
      <c r="L93" s="14" t="s">
        <v>170</v>
      </c>
    </row>
    <row r="94" spans="1:12" x14ac:dyDescent="0.3">
      <c r="B94" s="38" t="s">
        <v>52</v>
      </c>
      <c r="C94" s="11">
        <v>2895.13</v>
      </c>
      <c r="D94" s="49">
        <f t="shared" si="11"/>
        <v>-0.10194015467353801</v>
      </c>
      <c r="E94" s="11">
        <v>2600</v>
      </c>
      <c r="F94" s="49">
        <f t="shared" si="12"/>
        <v>6.9615384615384621E-2</v>
      </c>
      <c r="G94" s="11">
        <v>2781</v>
      </c>
      <c r="H94" s="11">
        <v>2781</v>
      </c>
      <c r="I94" s="11">
        <v>2781</v>
      </c>
      <c r="J94" s="55">
        <f t="shared" si="13"/>
        <v>3.9999999999999925E-2</v>
      </c>
      <c r="K94" s="53">
        <v>2892.24</v>
      </c>
      <c r="L94" s="14">
        <f t="shared" si="14"/>
        <v>34706.879999999997</v>
      </c>
    </row>
    <row r="95" spans="1:12" x14ac:dyDescent="0.3">
      <c r="B95" s="38" t="s">
        <v>53</v>
      </c>
      <c r="C95" s="11">
        <v>198.04</v>
      </c>
      <c r="D95" s="49">
        <f t="shared" si="11"/>
        <v>0.14779842456069486</v>
      </c>
      <c r="E95" s="11">
        <v>227.31</v>
      </c>
      <c r="F95" s="49">
        <f t="shared" si="12"/>
        <v>-0.72764799906148725</v>
      </c>
      <c r="G95" s="11">
        <v>36.6</v>
      </c>
      <c r="H95" s="11">
        <v>79.98571428571428</v>
      </c>
      <c r="I95" s="11">
        <v>61.908333333333331</v>
      </c>
      <c r="J95" s="55">
        <f t="shared" si="13"/>
        <v>8.6917485529680985</v>
      </c>
      <c r="K95" s="53">
        <v>600</v>
      </c>
      <c r="L95" s="14">
        <f t="shared" si="14"/>
        <v>7200</v>
      </c>
    </row>
    <row r="96" spans="1:12" x14ac:dyDescent="0.3">
      <c r="B96" s="38" t="s">
        <v>54</v>
      </c>
      <c r="C96" s="11">
        <v>138.01</v>
      </c>
      <c r="D96" s="49" t="s">
        <v>170</v>
      </c>
      <c r="E96" s="11">
        <v>0</v>
      </c>
      <c r="F96" s="49" t="s">
        <v>170</v>
      </c>
      <c r="G96" s="11">
        <v>0</v>
      </c>
      <c r="H96" s="11">
        <v>0</v>
      </c>
      <c r="I96" s="11">
        <v>0</v>
      </c>
      <c r="J96" s="55" t="s">
        <v>170</v>
      </c>
      <c r="K96" s="53" t="s">
        <v>170</v>
      </c>
      <c r="L96" s="14" t="s">
        <v>170</v>
      </c>
    </row>
    <row r="97" spans="2:12" x14ac:dyDescent="0.3">
      <c r="B97" s="38" t="s">
        <v>55</v>
      </c>
      <c r="C97" s="11">
        <v>125</v>
      </c>
      <c r="D97" s="49">
        <f t="shared" si="11"/>
        <v>1.4</v>
      </c>
      <c r="E97" s="11">
        <v>300</v>
      </c>
      <c r="F97" s="49">
        <f t="shared" si="12"/>
        <v>0.16541388888888889</v>
      </c>
      <c r="G97" s="11">
        <v>296.39999999999998</v>
      </c>
      <c r="H97" s="11">
        <v>387.64142857142855</v>
      </c>
      <c r="I97" s="11">
        <v>349.62416666666667</v>
      </c>
      <c r="J97" s="55">
        <f t="shared" si="13"/>
        <v>3.9999999999999952E-2</v>
      </c>
      <c r="K97" s="53">
        <v>363.60913333333332</v>
      </c>
      <c r="L97" s="14">
        <f t="shared" si="14"/>
        <v>4363.3095999999996</v>
      </c>
    </row>
    <row r="98" spans="2:12" x14ac:dyDescent="0.3">
      <c r="B98" s="38" t="s">
        <v>56</v>
      </c>
      <c r="C98" s="11">
        <v>6591.67</v>
      </c>
      <c r="D98" s="49">
        <f t="shared" si="11"/>
        <v>0.526042717551091</v>
      </c>
      <c r="E98" s="11">
        <v>10059.17</v>
      </c>
      <c r="F98" s="49">
        <f t="shared" si="12"/>
        <v>-0.26932341336313037</v>
      </c>
      <c r="G98" s="11">
        <v>10080</v>
      </c>
      <c r="H98" s="11">
        <v>5400</v>
      </c>
      <c r="I98" s="11">
        <v>7350</v>
      </c>
      <c r="J98" s="55" t="s">
        <v>170</v>
      </c>
      <c r="K98" s="53" t="s">
        <v>170</v>
      </c>
      <c r="L98" s="14" t="s">
        <v>170</v>
      </c>
    </row>
    <row r="99" spans="2:12" x14ac:dyDescent="0.3">
      <c r="B99" s="10" t="s">
        <v>57</v>
      </c>
      <c r="C99" s="11">
        <v>587.5</v>
      </c>
      <c r="D99" s="49">
        <f t="shared" si="11"/>
        <v>-0.58864680851063833</v>
      </c>
      <c r="E99" s="11">
        <v>241.67</v>
      </c>
      <c r="F99" s="49">
        <f t="shared" si="12"/>
        <v>-0.86207086798802768</v>
      </c>
      <c r="G99" s="11">
        <v>0</v>
      </c>
      <c r="H99" s="11">
        <v>57.142857142857146</v>
      </c>
      <c r="I99" s="11">
        <v>33.333333333333336</v>
      </c>
      <c r="J99" s="55">
        <f t="shared" si="13"/>
        <v>4.000000000000007E-2</v>
      </c>
      <c r="K99" s="53">
        <v>34.666666666666671</v>
      </c>
      <c r="L99" s="14">
        <f t="shared" si="14"/>
        <v>416.00000000000006</v>
      </c>
    </row>
    <row r="100" spans="2:12" x14ac:dyDescent="0.3">
      <c r="B100" s="38" t="s">
        <v>58</v>
      </c>
      <c r="C100" s="11">
        <v>335.08</v>
      </c>
      <c r="D100" s="49">
        <f t="shared" si="11"/>
        <v>-1</v>
      </c>
      <c r="E100" s="11">
        <v>0</v>
      </c>
      <c r="F100" s="49" t="s">
        <v>170</v>
      </c>
      <c r="G100" s="11">
        <v>0</v>
      </c>
      <c r="H100" s="11">
        <v>192.72571428571428</v>
      </c>
      <c r="I100" s="11">
        <v>112.42333333333333</v>
      </c>
      <c r="J100" s="55" t="s">
        <v>170</v>
      </c>
      <c r="K100" s="53" t="s">
        <v>170</v>
      </c>
      <c r="L100" s="14" t="s">
        <v>170</v>
      </c>
    </row>
    <row r="101" spans="2:12" x14ac:dyDescent="0.3">
      <c r="B101" s="38" t="s">
        <v>59</v>
      </c>
      <c r="C101" s="11">
        <v>62.83</v>
      </c>
      <c r="D101" s="49">
        <f t="shared" si="11"/>
        <v>2.2341238261976764</v>
      </c>
      <c r="E101" s="11">
        <v>203.2</v>
      </c>
      <c r="F101" s="49">
        <f t="shared" si="12"/>
        <v>2.6613435039370086</v>
      </c>
      <c r="G101" s="11">
        <v>150</v>
      </c>
      <c r="H101" s="11">
        <v>1168.26</v>
      </c>
      <c r="I101" s="11">
        <v>743.98500000000001</v>
      </c>
      <c r="J101" s="55">
        <f t="shared" si="13"/>
        <v>1.4866092730364187</v>
      </c>
      <c r="K101" s="53">
        <v>1850</v>
      </c>
      <c r="L101" s="14">
        <f t="shared" si="14"/>
        <v>22200</v>
      </c>
    </row>
    <row r="102" spans="2:12" x14ac:dyDescent="0.3">
      <c r="B102" s="38" t="s">
        <v>60</v>
      </c>
      <c r="C102" s="11">
        <v>106.2</v>
      </c>
      <c r="D102" s="49">
        <f t="shared" si="11"/>
        <v>1.94180790960452</v>
      </c>
      <c r="E102" s="11">
        <v>312.42</v>
      </c>
      <c r="F102" s="49">
        <f t="shared" si="12"/>
        <v>1.900409171414549</v>
      </c>
      <c r="G102" s="11">
        <v>983.39599999999996</v>
      </c>
      <c r="H102" s="11">
        <v>765.19428571428568</v>
      </c>
      <c r="I102" s="11">
        <v>906.14583333333337</v>
      </c>
      <c r="J102" s="55" t="s">
        <v>170</v>
      </c>
      <c r="K102" s="53" t="s">
        <v>170</v>
      </c>
      <c r="L102" s="14" t="s">
        <v>170</v>
      </c>
    </row>
    <row r="103" spans="2:12" x14ac:dyDescent="0.3">
      <c r="B103" s="38" t="s">
        <v>61</v>
      </c>
      <c r="C103" s="11">
        <v>10208.27</v>
      </c>
      <c r="D103" s="49">
        <f t="shared" si="11"/>
        <v>-0.70025087502583694</v>
      </c>
      <c r="E103" s="11">
        <v>3059.92</v>
      </c>
      <c r="F103" s="49">
        <f t="shared" si="12"/>
        <v>3.8665771218419617E-2</v>
      </c>
      <c r="G103" s="11">
        <v>0</v>
      </c>
      <c r="H103" s="11">
        <v>5448.4014285714284</v>
      </c>
      <c r="I103" s="11">
        <v>3178.2341666666666</v>
      </c>
      <c r="J103" s="55" t="s">
        <v>170</v>
      </c>
      <c r="K103" s="53" t="s">
        <v>170</v>
      </c>
      <c r="L103" s="14" t="s">
        <v>170</v>
      </c>
    </row>
    <row r="104" spans="2:12" x14ac:dyDescent="0.3">
      <c r="B104" s="38" t="s">
        <v>62</v>
      </c>
      <c r="C104" s="11">
        <v>0</v>
      </c>
      <c r="D104" s="49" t="s">
        <v>170</v>
      </c>
      <c r="E104" s="11"/>
      <c r="F104" s="49" t="s">
        <v>170</v>
      </c>
      <c r="G104" s="11">
        <v>0</v>
      </c>
      <c r="H104" s="11">
        <v>0</v>
      </c>
      <c r="I104" s="11">
        <v>0</v>
      </c>
      <c r="J104" s="55" t="s">
        <v>170</v>
      </c>
      <c r="K104" s="53" t="s">
        <v>170</v>
      </c>
      <c r="L104" s="14" t="s">
        <v>170</v>
      </c>
    </row>
    <row r="105" spans="2:12" x14ac:dyDescent="0.3">
      <c r="B105" s="38" t="s">
        <v>63</v>
      </c>
      <c r="C105" s="11">
        <v>162.25</v>
      </c>
      <c r="D105" s="49">
        <f t="shared" si="11"/>
        <v>0.7332511556240372</v>
      </c>
      <c r="E105" s="11">
        <v>281.22000000000003</v>
      </c>
      <c r="F105" s="49">
        <f t="shared" si="12"/>
        <v>-0.17256951852642077</v>
      </c>
      <c r="G105" s="11">
        <v>342.22</v>
      </c>
      <c r="H105" s="11">
        <v>154.4542857142857</v>
      </c>
      <c r="I105" s="11">
        <v>232.68999999999997</v>
      </c>
      <c r="J105" s="55">
        <f t="shared" si="13"/>
        <v>0</v>
      </c>
      <c r="K105" s="53">
        <v>232.68999999999997</v>
      </c>
      <c r="L105" s="14">
        <f t="shared" si="14"/>
        <v>2792.2799999999997</v>
      </c>
    </row>
    <row r="106" spans="2:12" x14ac:dyDescent="0.3">
      <c r="B106" s="38" t="s">
        <v>64</v>
      </c>
      <c r="C106" s="11">
        <v>141.97999999999999</v>
      </c>
      <c r="D106" s="49">
        <f t="shared" si="11"/>
        <v>-1.8312438371600995E-3</v>
      </c>
      <c r="E106" s="11">
        <v>141.72</v>
      </c>
      <c r="F106" s="49">
        <f t="shared" si="12"/>
        <v>1.6881879762912874E-2</v>
      </c>
      <c r="G106" s="11">
        <v>236.268</v>
      </c>
      <c r="H106" s="11">
        <v>78.287142857142854</v>
      </c>
      <c r="I106" s="11">
        <v>144.11250000000001</v>
      </c>
      <c r="J106" s="55">
        <f t="shared" si="13"/>
        <v>0</v>
      </c>
      <c r="K106" s="53">
        <v>144.11250000000001</v>
      </c>
      <c r="L106" s="14">
        <f t="shared" si="14"/>
        <v>1729.3500000000001</v>
      </c>
    </row>
    <row r="107" spans="2:12" x14ac:dyDescent="0.3">
      <c r="B107" s="38" t="s">
        <v>65</v>
      </c>
      <c r="C107" s="11">
        <v>0</v>
      </c>
      <c r="D107" s="49" t="s">
        <v>170</v>
      </c>
      <c r="E107" s="11">
        <v>398.33</v>
      </c>
      <c r="F107" s="49">
        <f t="shared" si="12"/>
        <v>6.3481744617109772</v>
      </c>
      <c r="G107" s="11">
        <v>0</v>
      </c>
      <c r="H107" s="11">
        <v>5017.7114285714288</v>
      </c>
      <c r="I107" s="11">
        <v>2926.9983333333334</v>
      </c>
      <c r="J107" s="55" t="s">
        <v>170</v>
      </c>
      <c r="K107" s="53" t="s">
        <v>170</v>
      </c>
      <c r="L107" s="14" t="s">
        <v>170</v>
      </c>
    </row>
    <row r="108" spans="2:12" x14ac:dyDescent="0.3">
      <c r="B108" s="38" t="s">
        <v>66</v>
      </c>
      <c r="C108" s="11">
        <v>0</v>
      </c>
      <c r="D108" s="49" t="s">
        <v>170</v>
      </c>
      <c r="E108" s="11">
        <v>0</v>
      </c>
      <c r="F108" s="49" t="s">
        <v>170</v>
      </c>
      <c r="G108" s="11">
        <v>0</v>
      </c>
      <c r="H108" s="11">
        <v>104.28571428571429</v>
      </c>
      <c r="I108" s="11">
        <v>60.833333333333336</v>
      </c>
      <c r="J108" s="55">
        <f t="shared" si="13"/>
        <v>9.8575342465753349E-2</v>
      </c>
      <c r="K108" s="53">
        <v>66.83</v>
      </c>
      <c r="L108" s="14">
        <f t="shared" si="14"/>
        <v>801.96</v>
      </c>
    </row>
    <row r="109" spans="2:12" x14ac:dyDescent="0.3">
      <c r="B109" s="10" t="s">
        <v>67</v>
      </c>
      <c r="C109" s="11">
        <v>0</v>
      </c>
      <c r="D109" s="49" t="s">
        <v>170</v>
      </c>
      <c r="E109" s="11">
        <v>0</v>
      </c>
      <c r="F109" s="49" t="s">
        <v>170</v>
      </c>
      <c r="G109" s="11">
        <v>0</v>
      </c>
      <c r="H109" s="11">
        <v>231.84428571428569</v>
      </c>
      <c r="I109" s="11">
        <v>135.24249999999998</v>
      </c>
      <c r="J109" s="55">
        <f t="shared" si="13"/>
        <v>5.2850065622862648</v>
      </c>
      <c r="K109" s="53">
        <v>850</v>
      </c>
      <c r="L109" s="14">
        <f t="shared" si="14"/>
        <v>10200</v>
      </c>
    </row>
    <row r="110" spans="2:12" ht="15.75" thickBot="1" x14ac:dyDescent="0.35">
      <c r="B110" s="10" t="s">
        <v>68</v>
      </c>
      <c r="C110" s="11">
        <v>120.98</v>
      </c>
      <c r="D110" s="49">
        <f t="shared" si="11"/>
        <v>2.2889733840304181</v>
      </c>
      <c r="E110" s="11">
        <v>397.9</v>
      </c>
      <c r="F110" s="49">
        <f t="shared" si="12"/>
        <v>-0.21516084443327443</v>
      </c>
      <c r="G110" s="11">
        <v>416.38</v>
      </c>
      <c r="H110" s="11">
        <v>237.93142857142857</v>
      </c>
      <c r="I110" s="11">
        <v>312.28750000000008</v>
      </c>
      <c r="J110" s="55">
        <f t="shared" si="13"/>
        <v>0.13456350318216359</v>
      </c>
      <c r="K110" s="53">
        <v>354.31</v>
      </c>
      <c r="L110" s="14">
        <f>K110*12</f>
        <v>4251.72</v>
      </c>
    </row>
    <row r="111" spans="2:12" ht="17.25" thickBot="1" x14ac:dyDescent="0.35">
      <c r="B111" s="58" t="s">
        <v>179</v>
      </c>
      <c r="C111" s="59">
        <f>SUM(C63:C110)</f>
        <v>57141.56</v>
      </c>
      <c r="D111" s="60">
        <f t="shared" si="11"/>
        <v>4.2377211962710539E-3</v>
      </c>
      <c r="E111" s="59">
        <f>SUM(E63:E110)</f>
        <v>57383.709999999992</v>
      </c>
      <c r="F111" s="60">
        <f t="shared" si="12"/>
        <v>0.14416292242752102</v>
      </c>
      <c r="G111" s="59">
        <f>SUM(G63:G110)</f>
        <v>59826.617999999995</v>
      </c>
      <c r="H111" s="59">
        <f>SUM(H63:H110)</f>
        <v>69734.604285714289</v>
      </c>
      <c r="I111" s="59">
        <f>SUM(I63:I110)</f>
        <v>65656.313333333354</v>
      </c>
      <c r="J111" s="63">
        <f>(K111-I111)/I111</f>
        <v>-0.1975287730644236</v>
      </c>
      <c r="K111" s="59">
        <f>SUM(K63:K110)</f>
        <v>52687.302316666661</v>
      </c>
      <c r="L111" s="62">
        <f>K111*12</f>
        <v>632247.6277999999</v>
      </c>
    </row>
    <row r="112" spans="2:12" ht="15.6" customHeight="1" thickBot="1" x14ac:dyDescent="0.35">
      <c r="B112" s="144" t="s">
        <v>69</v>
      </c>
      <c r="C112" s="146">
        <v>2023</v>
      </c>
      <c r="D112" s="148" t="s">
        <v>186</v>
      </c>
      <c r="E112" s="150">
        <v>2024</v>
      </c>
      <c r="F112" s="148" t="s">
        <v>185</v>
      </c>
      <c r="G112" s="152">
        <v>2025</v>
      </c>
      <c r="H112" s="153"/>
      <c r="I112" s="154"/>
      <c r="J112" s="155" t="s">
        <v>184</v>
      </c>
      <c r="K112" s="142" t="s">
        <v>1</v>
      </c>
      <c r="L112" s="140" t="s">
        <v>2</v>
      </c>
    </row>
    <row r="113" spans="2:13" ht="45" x14ac:dyDescent="0.3">
      <c r="B113" s="145"/>
      <c r="C113" s="147"/>
      <c r="D113" s="149" t="s">
        <v>183</v>
      </c>
      <c r="E113" s="151"/>
      <c r="F113" s="149" t="s">
        <v>183</v>
      </c>
      <c r="G113" s="43" t="s">
        <v>3</v>
      </c>
      <c r="H113" s="43" t="s">
        <v>171</v>
      </c>
      <c r="I113" s="43" t="s">
        <v>4</v>
      </c>
      <c r="J113" s="156"/>
      <c r="K113" s="143"/>
      <c r="L113" s="141"/>
    </row>
    <row r="114" spans="2:13" x14ac:dyDescent="0.3">
      <c r="B114" s="10" t="s">
        <v>70</v>
      </c>
      <c r="C114" s="11">
        <v>2974.92</v>
      </c>
      <c r="D114" s="49">
        <f t="shared" ref="D114:D176" si="15">(E114-C114)/C114</f>
        <v>0.17973592567195076</v>
      </c>
      <c r="E114" s="11">
        <v>3509.62</v>
      </c>
      <c r="F114" s="49">
        <f t="shared" ref="F114:F176" si="16">(I114-E114)/E114</f>
        <v>0.78527257461871469</v>
      </c>
      <c r="G114" s="11">
        <v>3757.5680000000002</v>
      </c>
      <c r="H114" s="11">
        <v>8057.0999999999995</v>
      </c>
      <c r="I114" s="11">
        <v>6265.6283333333331</v>
      </c>
      <c r="J114" s="55">
        <f t="shared" ref="J114:J175" si="17">(K114-I114)/I114</f>
        <v>-4.2394524411890552E-2</v>
      </c>
      <c r="K114" s="53">
        <v>6000</v>
      </c>
      <c r="L114" s="14">
        <f t="shared" ref="L114:L171" si="18">K114*12</f>
        <v>72000</v>
      </c>
    </row>
    <row r="115" spans="2:13" x14ac:dyDescent="0.3">
      <c r="B115" s="10" t="s">
        <v>71</v>
      </c>
      <c r="C115" s="11">
        <v>66.67</v>
      </c>
      <c r="D115" s="49" t="s">
        <v>170</v>
      </c>
      <c r="E115" s="11">
        <v>0</v>
      </c>
      <c r="F115" s="49" t="s">
        <v>170</v>
      </c>
      <c r="G115" s="11">
        <v>0</v>
      </c>
      <c r="H115" s="11">
        <v>428.57142857142856</v>
      </c>
      <c r="I115" s="11">
        <v>250</v>
      </c>
      <c r="J115" s="55" t="s">
        <v>170</v>
      </c>
      <c r="K115" s="53" t="s">
        <v>170</v>
      </c>
      <c r="L115" s="14" t="s">
        <v>170</v>
      </c>
    </row>
    <row r="116" spans="2:13" x14ac:dyDescent="0.3">
      <c r="B116" s="90" t="s">
        <v>72</v>
      </c>
      <c r="C116" s="86">
        <v>4280.0200000000004</v>
      </c>
      <c r="D116" s="87">
        <f t="shared" si="15"/>
        <v>2.9840982051485585E-2</v>
      </c>
      <c r="E116" s="86">
        <v>4407.74</v>
      </c>
      <c r="F116" s="87">
        <f t="shared" si="16"/>
        <v>0.30855154795881801</v>
      </c>
      <c r="G116" s="86">
        <v>1922.5</v>
      </c>
      <c r="H116" s="86">
        <v>8514.3657142857137</v>
      </c>
      <c r="I116" s="86">
        <v>5767.7550000000001</v>
      </c>
      <c r="J116" s="88">
        <f t="shared" si="17"/>
        <v>2.7276201919117575</v>
      </c>
      <c r="K116" s="91">
        <v>21500</v>
      </c>
      <c r="L116" s="89">
        <f t="shared" si="18"/>
        <v>258000</v>
      </c>
      <c r="M116" s="103">
        <f>K116/K195</f>
        <v>4.4275946729573482E-2</v>
      </c>
    </row>
    <row r="117" spans="2:13" x14ac:dyDescent="0.3">
      <c r="B117" s="38" t="s">
        <v>73</v>
      </c>
      <c r="C117" s="11">
        <v>933.73</v>
      </c>
      <c r="D117" s="49">
        <f t="shared" si="15"/>
        <v>4.1358529767705869</v>
      </c>
      <c r="E117" s="11">
        <v>4795.5</v>
      </c>
      <c r="F117" s="49">
        <f t="shared" si="16"/>
        <v>-6.1122058874639576E-2</v>
      </c>
      <c r="G117" s="11">
        <v>3297.8380000000002</v>
      </c>
      <c r="H117" s="11">
        <v>5362.7828571428563</v>
      </c>
      <c r="I117" s="11">
        <v>4502.3891666666659</v>
      </c>
      <c r="J117" s="55">
        <f t="shared" si="17"/>
        <v>-0.52247575222562381</v>
      </c>
      <c r="K117" s="53">
        <v>2150</v>
      </c>
      <c r="L117" s="14">
        <f t="shared" si="18"/>
        <v>25800</v>
      </c>
    </row>
    <row r="118" spans="2:13" x14ac:dyDescent="0.3">
      <c r="B118" s="10" t="s">
        <v>74</v>
      </c>
      <c r="C118" s="11">
        <v>392.69</v>
      </c>
      <c r="D118" s="49">
        <f t="shared" si="15"/>
        <v>-0.69724209936591208</v>
      </c>
      <c r="E118" s="11">
        <v>118.89</v>
      </c>
      <c r="F118" s="49">
        <f t="shared" si="16"/>
        <v>-0.45184624442762217</v>
      </c>
      <c r="G118" s="11">
        <v>0</v>
      </c>
      <c r="H118" s="11">
        <v>111.72000000000001</v>
      </c>
      <c r="I118" s="11">
        <v>65.17</v>
      </c>
      <c r="J118" s="55">
        <f t="shared" si="17"/>
        <v>4.1999999999999947E-2</v>
      </c>
      <c r="K118" s="53">
        <v>67.907139999999998</v>
      </c>
      <c r="L118" s="14">
        <f t="shared" si="18"/>
        <v>814.88567999999998</v>
      </c>
    </row>
    <row r="119" spans="2:13" x14ac:dyDescent="0.3">
      <c r="B119" s="10" t="s">
        <v>75</v>
      </c>
      <c r="C119" s="11">
        <v>0</v>
      </c>
      <c r="D119" s="49" t="s">
        <v>170</v>
      </c>
      <c r="E119" s="11">
        <v>0</v>
      </c>
      <c r="F119" s="49" t="s">
        <v>170</v>
      </c>
      <c r="G119" s="11">
        <v>0</v>
      </c>
      <c r="H119" s="11">
        <v>247.14285714285714</v>
      </c>
      <c r="I119" s="11">
        <v>144.16666666666666</v>
      </c>
      <c r="J119" s="55">
        <f t="shared" si="17"/>
        <v>4.0000000000000098E-2</v>
      </c>
      <c r="K119" s="53">
        <v>149.93333333333334</v>
      </c>
      <c r="L119" s="14">
        <f t="shared" si="18"/>
        <v>1799.2</v>
      </c>
    </row>
    <row r="120" spans="2:13" x14ac:dyDescent="0.3">
      <c r="B120" s="10" t="s">
        <v>76</v>
      </c>
      <c r="C120" s="11">
        <v>558.44000000000005</v>
      </c>
      <c r="D120" s="49">
        <f t="shared" si="15"/>
        <v>0.77344029797292446</v>
      </c>
      <c r="E120" s="11">
        <v>990.36</v>
      </c>
      <c r="F120" s="49">
        <f t="shared" si="16"/>
        <v>1.0171385489451694E-2</v>
      </c>
      <c r="G120" s="11">
        <v>330.52</v>
      </c>
      <c r="H120" s="11">
        <v>1478.9428571428568</v>
      </c>
      <c r="I120" s="11">
        <v>1000.4333333333334</v>
      </c>
      <c r="J120" s="55">
        <f t="shared" si="17"/>
        <v>0.99913370872621854</v>
      </c>
      <c r="K120" s="53">
        <v>2000</v>
      </c>
      <c r="L120" s="14">
        <f t="shared" si="18"/>
        <v>24000</v>
      </c>
    </row>
    <row r="121" spans="2:13" x14ac:dyDescent="0.3">
      <c r="B121" s="10" t="s">
        <v>77</v>
      </c>
      <c r="C121" s="11">
        <v>0</v>
      </c>
      <c r="D121" s="49" t="s">
        <v>170</v>
      </c>
      <c r="E121" s="11">
        <v>927.92</v>
      </c>
      <c r="F121" s="49" t="s">
        <v>170</v>
      </c>
      <c r="G121" s="11">
        <v>0</v>
      </c>
      <c r="H121" s="11">
        <v>0</v>
      </c>
      <c r="I121" s="11">
        <v>0</v>
      </c>
      <c r="J121" s="55" t="s">
        <v>170</v>
      </c>
      <c r="K121" s="53" t="s">
        <v>170</v>
      </c>
      <c r="L121" s="14" t="s">
        <v>170</v>
      </c>
    </row>
    <row r="122" spans="2:13" x14ac:dyDescent="0.3">
      <c r="B122" s="10" t="s">
        <v>78</v>
      </c>
      <c r="C122" s="11">
        <v>37.83</v>
      </c>
      <c r="D122" s="49">
        <f t="shared" si="15"/>
        <v>-1</v>
      </c>
      <c r="E122" s="11">
        <v>0</v>
      </c>
      <c r="F122" s="49" t="s">
        <v>170</v>
      </c>
      <c r="G122" s="11">
        <v>0</v>
      </c>
      <c r="H122" s="11">
        <v>69.142857142857139</v>
      </c>
      <c r="I122" s="11">
        <v>40.333333333333336</v>
      </c>
      <c r="J122" s="55">
        <f t="shared" si="17"/>
        <v>1.4793388429752066</v>
      </c>
      <c r="K122" s="53">
        <v>100</v>
      </c>
      <c r="L122" s="14">
        <f t="shared" si="18"/>
        <v>1200</v>
      </c>
    </row>
    <row r="123" spans="2:13" x14ac:dyDescent="0.3">
      <c r="B123" s="10" t="s">
        <v>79</v>
      </c>
      <c r="C123" s="11">
        <v>0</v>
      </c>
      <c r="D123" s="49" t="s">
        <v>170</v>
      </c>
      <c r="E123" s="11">
        <v>0</v>
      </c>
      <c r="F123" s="49" t="s">
        <v>170</v>
      </c>
      <c r="G123" s="11">
        <v>0</v>
      </c>
      <c r="H123" s="11">
        <v>154</v>
      </c>
      <c r="I123" s="11">
        <v>89.833333333333329</v>
      </c>
      <c r="J123" s="55">
        <f t="shared" si="17"/>
        <v>-1</v>
      </c>
      <c r="K123" s="53">
        <v>0</v>
      </c>
      <c r="L123" s="14">
        <f t="shared" si="18"/>
        <v>0</v>
      </c>
    </row>
    <row r="124" spans="2:13" x14ac:dyDescent="0.3">
      <c r="B124" s="38" t="s">
        <v>80</v>
      </c>
      <c r="C124" s="11">
        <v>86.08</v>
      </c>
      <c r="D124" s="49">
        <f t="shared" si="15"/>
        <v>-0.66310408921933084</v>
      </c>
      <c r="E124" s="11">
        <v>29</v>
      </c>
      <c r="F124" s="49">
        <f t="shared" si="16"/>
        <v>142.14672413793105</v>
      </c>
      <c r="G124" s="11">
        <v>197</v>
      </c>
      <c r="H124" s="11">
        <v>6975.7228571428568</v>
      </c>
      <c r="I124" s="11">
        <v>4151.2550000000001</v>
      </c>
      <c r="J124" s="55">
        <f t="shared" si="17"/>
        <v>-0.87955449617043524</v>
      </c>
      <c r="K124" s="53">
        <v>500</v>
      </c>
      <c r="L124" s="14">
        <f t="shared" si="18"/>
        <v>6000</v>
      </c>
    </row>
    <row r="125" spans="2:13" x14ac:dyDescent="0.3">
      <c r="B125" s="10" t="s">
        <v>81</v>
      </c>
      <c r="C125" s="11">
        <v>135.83000000000001</v>
      </c>
      <c r="D125" s="49" t="s">
        <v>170</v>
      </c>
      <c r="E125" s="11">
        <v>0</v>
      </c>
      <c r="F125" s="49" t="s">
        <v>170</v>
      </c>
      <c r="G125" s="11">
        <v>0</v>
      </c>
      <c r="H125" s="11">
        <v>0</v>
      </c>
      <c r="I125" s="11">
        <v>0</v>
      </c>
      <c r="J125" s="55" t="s">
        <v>170</v>
      </c>
      <c r="K125" s="53" t="s">
        <v>170</v>
      </c>
      <c r="L125" s="14" t="s">
        <v>170</v>
      </c>
    </row>
    <row r="126" spans="2:13" x14ac:dyDescent="0.3">
      <c r="B126" s="10" t="s">
        <v>82</v>
      </c>
      <c r="C126" s="11">
        <v>343.95</v>
      </c>
      <c r="D126" s="49">
        <f t="shared" si="15"/>
        <v>-0.57019915685419387</v>
      </c>
      <c r="E126" s="11">
        <v>147.83000000000001</v>
      </c>
      <c r="F126" s="49">
        <f t="shared" si="16"/>
        <v>1.0594038197028115</v>
      </c>
      <c r="G126" s="11">
        <v>48.82</v>
      </c>
      <c r="H126" s="11">
        <v>487.02857142857141</v>
      </c>
      <c r="I126" s="11">
        <v>304.44166666666666</v>
      </c>
      <c r="J126" s="55">
        <f t="shared" si="17"/>
        <v>0.64235075137546882</v>
      </c>
      <c r="K126" s="53">
        <v>500</v>
      </c>
      <c r="L126" s="14">
        <f t="shared" si="18"/>
        <v>6000</v>
      </c>
    </row>
    <row r="127" spans="2:13" x14ac:dyDescent="0.3">
      <c r="B127" s="10" t="s">
        <v>83</v>
      </c>
      <c r="C127" s="11">
        <v>215</v>
      </c>
      <c r="D127" s="49" t="s">
        <v>170</v>
      </c>
      <c r="E127" s="11">
        <v>0</v>
      </c>
      <c r="F127" s="49" t="s">
        <v>170</v>
      </c>
      <c r="G127" s="11">
        <v>0</v>
      </c>
      <c r="H127" s="11">
        <v>542.85714285714289</v>
      </c>
      <c r="I127" s="11">
        <v>316.66666666666669</v>
      </c>
      <c r="J127" s="55" t="s">
        <v>170</v>
      </c>
      <c r="K127" s="53" t="s">
        <v>170</v>
      </c>
      <c r="L127" s="14" t="s">
        <v>170</v>
      </c>
    </row>
    <row r="128" spans="2:13" x14ac:dyDescent="0.3">
      <c r="B128" s="10" t="s">
        <v>84</v>
      </c>
      <c r="C128" s="11">
        <v>104.17</v>
      </c>
      <c r="D128" s="49" t="s">
        <v>170</v>
      </c>
      <c r="E128" s="11">
        <v>0</v>
      </c>
      <c r="F128" s="49" t="s">
        <v>170</v>
      </c>
      <c r="G128" s="11">
        <v>0</v>
      </c>
      <c r="H128" s="11">
        <v>0</v>
      </c>
      <c r="I128" s="11">
        <v>0</v>
      </c>
      <c r="J128" s="55" t="s">
        <v>170</v>
      </c>
      <c r="K128" s="53" t="s">
        <v>170</v>
      </c>
      <c r="L128" s="14" t="s">
        <v>170</v>
      </c>
    </row>
    <row r="129" spans="2:12" x14ac:dyDescent="0.3">
      <c r="B129" s="10" t="s">
        <v>85</v>
      </c>
      <c r="C129" s="11">
        <v>12.5</v>
      </c>
      <c r="D129" s="49" t="s">
        <v>170</v>
      </c>
      <c r="E129" s="11">
        <v>0</v>
      </c>
      <c r="F129" s="49" t="s">
        <v>170</v>
      </c>
      <c r="G129" s="11">
        <v>5</v>
      </c>
      <c r="H129" s="11">
        <v>0</v>
      </c>
      <c r="I129" s="11">
        <v>2.0833333333333335</v>
      </c>
      <c r="J129" s="55" t="s">
        <v>170</v>
      </c>
      <c r="K129" s="53" t="s">
        <v>170</v>
      </c>
      <c r="L129" s="14" t="s">
        <v>170</v>
      </c>
    </row>
    <row r="130" spans="2:12" x14ac:dyDescent="0.3">
      <c r="B130" s="10" t="s">
        <v>86</v>
      </c>
      <c r="C130" s="11">
        <v>333.33</v>
      </c>
      <c r="D130" s="49" t="s">
        <v>170</v>
      </c>
      <c r="E130" s="11">
        <v>0</v>
      </c>
      <c r="F130" s="49" t="s">
        <v>170</v>
      </c>
      <c r="G130" s="11">
        <v>0</v>
      </c>
      <c r="H130" s="11">
        <v>0</v>
      </c>
      <c r="I130" s="11">
        <v>0</v>
      </c>
      <c r="J130" s="55" t="s">
        <v>170</v>
      </c>
      <c r="K130" s="53" t="s">
        <v>170</v>
      </c>
      <c r="L130" s="14" t="s">
        <v>170</v>
      </c>
    </row>
    <row r="131" spans="2:12" x14ac:dyDescent="0.3">
      <c r="B131" s="38" t="s">
        <v>87</v>
      </c>
      <c r="C131" s="11">
        <v>558.75</v>
      </c>
      <c r="D131" s="49">
        <f t="shared" si="15"/>
        <v>4.290201342281879</v>
      </c>
      <c r="E131" s="11">
        <v>2955.9</v>
      </c>
      <c r="F131" s="49">
        <f t="shared" si="16"/>
        <v>0.66899139573959399</v>
      </c>
      <c r="G131" s="11">
        <v>4105.3739999999998</v>
      </c>
      <c r="H131" s="11">
        <v>5524.7985714285724</v>
      </c>
      <c r="I131" s="11">
        <v>4933.371666666666</v>
      </c>
      <c r="J131" s="55">
        <f t="shared" si="17"/>
        <v>4.0000000000000084E-2</v>
      </c>
      <c r="K131" s="53">
        <v>5130.706533333333</v>
      </c>
      <c r="L131" s="14">
        <f t="shared" si="18"/>
        <v>61568.478399999993</v>
      </c>
    </row>
    <row r="132" spans="2:12" x14ac:dyDescent="0.3">
      <c r="B132" s="10" t="s">
        <v>88</v>
      </c>
      <c r="C132" s="11">
        <v>120.8</v>
      </c>
      <c r="D132" s="49">
        <f t="shared" si="15"/>
        <v>-0.99172185430463577</v>
      </c>
      <c r="E132" s="11">
        <v>1</v>
      </c>
      <c r="F132" s="49">
        <f t="shared" si="16"/>
        <v>12.741666666666667</v>
      </c>
      <c r="G132" s="11">
        <v>24</v>
      </c>
      <c r="H132" s="11">
        <v>6.4142857142857137</v>
      </c>
      <c r="I132" s="11">
        <v>13.741666666666667</v>
      </c>
      <c r="J132" s="55">
        <f t="shared" si="17"/>
        <v>0.81928441479684655</v>
      </c>
      <c r="K132" s="53">
        <v>25</v>
      </c>
      <c r="L132" s="14">
        <f t="shared" si="18"/>
        <v>300</v>
      </c>
    </row>
    <row r="133" spans="2:12" x14ac:dyDescent="0.3">
      <c r="B133" s="10" t="s">
        <v>89</v>
      </c>
      <c r="C133" s="11">
        <v>2574.2399999999998</v>
      </c>
      <c r="D133" s="49">
        <f t="shared" si="15"/>
        <v>-0.30843278016035797</v>
      </c>
      <c r="E133" s="11">
        <v>1780.26</v>
      </c>
      <c r="F133" s="49">
        <f t="shared" si="16"/>
        <v>0.26380790820816413</v>
      </c>
      <c r="G133" s="11">
        <v>1959.3040000000001</v>
      </c>
      <c r="H133" s="11">
        <v>2457.48</v>
      </c>
      <c r="I133" s="11">
        <v>2249.9066666666663</v>
      </c>
      <c r="J133" s="55">
        <f t="shared" si="17"/>
        <v>4.1999999999999961E-2</v>
      </c>
      <c r="K133" s="53">
        <v>2344.4027466666662</v>
      </c>
      <c r="L133" s="14">
        <f t="shared" si="18"/>
        <v>28132.832959999992</v>
      </c>
    </row>
    <row r="134" spans="2:12" x14ac:dyDescent="0.3">
      <c r="B134" s="38" t="s">
        <v>90</v>
      </c>
      <c r="C134" s="11">
        <v>341.67</v>
      </c>
      <c r="D134" s="49">
        <f t="shared" si="15"/>
        <v>6.4633418210554039</v>
      </c>
      <c r="E134" s="11">
        <v>2550</v>
      </c>
      <c r="F134" s="49">
        <f t="shared" si="16"/>
        <v>4.738562091503274E-2</v>
      </c>
      <c r="G134" s="11">
        <v>4380</v>
      </c>
      <c r="H134" s="11">
        <v>1450</v>
      </c>
      <c r="I134" s="11">
        <v>2670.8333333333335</v>
      </c>
      <c r="J134" s="55">
        <f t="shared" si="17"/>
        <v>-1</v>
      </c>
      <c r="K134" s="53">
        <v>0</v>
      </c>
      <c r="L134" s="14">
        <f t="shared" si="18"/>
        <v>0</v>
      </c>
    </row>
    <row r="135" spans="2:12" x14ac:dyDescent="0.3">
      <c r="B135" s="10" t="s">
        <v>91</v>
      </c>
      <c r="C135" s="11">
        <v>96.67</v>
      </c>
      <c r="D135" s="49">
        <f t="shared" si="15"/>
        <v>1.172338884866039</v>
      </c>
      <c r="E135" s="11">
        <v>210</v>
      </c>
      <c r="F135" s="49">
        <f t="shared" si="16"/>
        <v>3.4431349206349209</v>
      </c>
      <c r="G135" s="11">
        <v>416.00799999999998</v>
      </c>
      <c r="H135" s="11">
        <v>1302.3799999999999</v>
      </c>
      <c r="I135" s="11">
        <v>933.05833333333339</v>
      </c>
      <c r="J135" s="55">
        <f t="shared" si="17"/>
        <v>-0.94641278233765302</v>
      </c>
      <c r="K135" s="53">
        <v>50</v>
      </c>
      <c r="L135" s="14">
        <f t="shared" si="18"/>
        <v>600</v>
      </c>
    </row>
    <row r="136" spans="2:12" x14ac:dyDescent="0.3">
      <c r="B136" s="10" t="s">
        <v>92</v>
      </c>
      <c r="C136" s="11">
        <v>829.17</v>
      </c>
      <c r="D136" s="49">
        <f t="shared" si="15"/>
        <v>1.296477200091658</v>
      </c>
      <c r="E136" s="11">
        <v>1904.17</v>
      </c>
      <c r="F136" s="49">
        <f t="shared" si="16"/>
        <v>-0.77483628037412622</v>
      </c>
      <c r="G136" s="11">
        <v>1029</v>
      </c>
      <c r="H136" s="11">
        <v>0</v>
      </c>
      <c r="I136" s="11">
        <v>428.75</v>
      </c>
      <c r="J136" s="55">
        <f t="shared" si="17"/>
        <v>-1</v>
      </c>
      <c r="K136" s="53">
        <v>0</v>
      </c>
      <c r="L136" s="14">
        <f t="shared" si="18"/>
        <v>0</v>
      </c>
    </row>
    <row r="137" spans="2:12" x14ac:dyDescent="0.3">
      <c r="B137" s="10" t="s">
        <v>93</v>
      </c>
      <c r="C137" s="11">
        <v>208.33</v>
      </c>
      <c r="D137" s="49">
        <f t="shared" si="15"/>
        <v>-0.87999807996927948</v>
      </c>
      <c r="E137" s="11">
        <v>25</v>
      </c>
      <c r="F137" s="49">
        <f t="shared" si="16"/>
        <v>7.4</v>
      </c>
      <c r="G137" s="11">
        <v>84</v>
      </c>
      <c r="H137" s="11">
        <v>300</v>
      </c>
      <c r="I137" s="11">
        <v>210</v>
      </c>
      <c r="J137" s="55">
        <f t="shared" si="17"/>
        <v>8.5238095238095237</v>
      </c>
      <c r="K137" s="53">
        <v>2000</v>
      </c>
      <c r="L137" s="14">
        <f t="shared" si="18"/>
        <v>24000</v>
      </c>
    </row>
    <row r="138" spans="2:12" x14ac:dyDescent="0.3">
      <c r="B138" s="10" t="s">
        <v>94</v>
      </c>
      <c r="C138" s="11">
        <v>0</v>
      </c>
      <c r="D138" s="49" t="s">
        <v>170</v>
      </c>
      <c r="E138" s="11">
        <v>0</v>
      </c>
      <c r="F138" s="49" t="s">
        <v>170</v>
      </c>
      <c r="G138" s="11">
        <v>15</v>
      </c>
      <c r="H138" s="11">
        <v>0</v>
      </c>
      <c r="I138" s="11">
        <v>6.25</v>
      </c>
      <c r="J138" s="55">
        <f t="shared" si="17"/>
        <v>-1</v>
      </c>
      <c r="K138" s="53">
        <v>0</v>
      </c>
      <c r="L138" s="14">
        <f t="shared" si="18"/>
        <v>0</v>
      </c>
    </row>
    <row r="139" spans="2:12" x14ac:dyDescent="0.3">
      <c r="B139" s="38" t="s">
        <v>95</v>
      </c>
      <c r="C139" s="11">
        <v>10.98</v>
      </c>
      <c r="D139" s="49">
        <f t="shared" si="15"/>
        <v>2.2349726775956285</v>
      </c>
      <c r="E139" s="11">
        <v>35.520000000000003</v>
      </c>
      <c r="F139" s="49">
        <f t="shared" si="16"/>
        <v>0.26008821321321307</v>
      </c>
      <c r="G139" s="11">
        <v>34.86</v>
      </c>
      <c r="H139" s="11">
        <v>51.828571428571429</v>
      </c>
      <c r="I139" s="11">
        <v>44.758333333333333</v>
      </c>
      <c r="J139" s="55">
        <f t="shared" si="17"/>
        <v>0.34053248929435859</v>
      </c>
      <c r="K139" s="53">
        <v>60</v>
      </c>
      <c r="L139" s="14">
        <f t="shared" si="18"/>
        <v>720</v>
      </c>
    </row>
    <row r="140" spans="2:12" x14ac:dyDescent="0.3">
      <c r="B140" s="38" t="s">
        <v>96</v>
      </c>
      <c r="C140" s="11">
        <v>0</v>
      </c>
      <c r="D140" s="49" t="s">
        <v>170</v>
      </c>
      <c r="E140" s="11">
        <v>225</v>
      </c>
      <c r="F140" s="49" t="s">
        <v>170</v>
      </c>
      <c r="G140" s="11">
        <v>0</v>
      </c>
      <c r="H140" s="11">
        <v>0</v>
      </c>
      <c r="I140" s="11">
        <v>0</v>
      </c>
      <c r="J140" s="55" t="s">
        <v>170</v>
      </c>
      <c r="K140" s="53" t="s">
        <v>170</v>
      </c>
      <c r="L140" s="14" t="s">
        <v>170</v>
      </c>
    </row>
    <row r="141" spans="2:12" x14ac:dyDescent="0.3">
      <c r="B141" s="10" t="s">
        <v>97</v>
      </c>
      <c r="C141" s="11">
        <v>0</v>
      </c>
      <c r="D141" s="49" t="s">
        <v>170</v>
      </c>
      <c r="E141" s="11">
        <v>165</v>
      </c>
      <c r="F141" s="49" t="s">
        <v>170</v>
      </c>
      <c r="G141" s="11">
        <v>0</v>
      </c>
      <c r="H141" s="11">
        <v>0</v>
      </c>
      <c r="I141" s="11">
        <v>0</v>
      </c>
      <c r="J141" s="55" t="s">
        <v>170</v>
      </c>
      <c r="K141" s="53" t="s">
        <v>170</v>
      </c>
      <c r="L141" s="14" t="s">
        <v>170</v>
      </c>
    </row>
    <row r="142" spans="2:12" x14ac:dyDescent="0.3">
      <c r="B142" s="10" t="s">
        <v>98</v>
      </c>
      <c r="C142" s="11">
        <v>291.57</v>
      </c>
      <c r="D142" s="49">
        <f t="shared" si="15"/>
        <v>1.4128339678293378</v>
      </c>
      <c r="E142" s="11">
        <v>703.51</v>
      </c>
      <c r="F142" s="49">
        <f t="shared" si="16"/>
        <v>-0.25538490331812391</v>
      </c>
      <c r="G142" s="11">
        <v>135.892</v>
      </c>
      <c r="H142" s="11">
        <v>800.95285714285717</v>
      </c>
      <c r="I142" s="11">
        <v>523.84416666666664</v>
      </c>
      <c r="J142" s="55">
        <f t="shared" si="17"/>
        <v>-0.42731060286694672</v>
      </c>
      <c r="K142" s="53">
        <v>300</v>
      </c>
      <c r="L142" s="14">
        <f t="shared" si="18"/>
        <v>3600</v>
      </c>
    </row>
    <row r="143" spans="2:12" x14ac:dyDescent="0.3">
      <c r="B143" s="38" t="s">
        <v>99</v>
      </c>
      <c r="C143" s="11">
        <v>175.83</v>
      </c>
      <c r="D143" s="49">
        <f t="shared" si="15"/>
        <v>8.2108855144173347</v>
      </c>
      <c r="E143" s="11">
        <v>1619.55</v>
      </c>
      <c r="F143" s="49">
        <f t="shared" si="16"/>
        <v>0.51540551387731171</v>
      </c>
      <c r="G143" s="11">
        <v>2531.38</v>
      </c>
      <c r="H143" s="11">
        <v>2399.2000000000003</v>
      </c>
      <c r="I143" s="11">
        <v>2454.2750000000001</v>
      </c>
      <c r="J143" s="55">
        <f t="shared" si="17"/>
        <v>-0.31564311252813976</v>
      </c>
      <c r="K143" s="53">
        <v>1679.6</v>
      </c>
      <c r="L143" s="14">
        <f t="shared" si="18"/>
        <v>20155.199999999997</v>
      </c>
    </row>
    <row r="144" spans="2:12" x14ac:dyDescent="0.3">
      <c r="B144" s="10" t="s">
        <v>100</v>
      </c>
      <c r="C144" s="11">
        <v>270.24</v>
      </c>
      <c r="D144" s="49" t="s">
        <v>170</v>
      </c>
      <c r="E144" s="11">
        <v>0</v>
      </c>
      <c r="F144" s="49" t="s">
        <v>170</v>
      </c>
      <c r="G144" s="11">
        <v>0</v>
      </c>
      <c r="H144" s="11">
        <v>0</v>
      </c>
      <c r="I144" s="11">
        <v>0</v>
      </c>
      <c r="J144" s="55" t="s">
        <v>170</v>
      </c>
      <c r="K144" s="53" t="s">
        <v>170</v>
      </c>
      <c r="L144" s="14" t="s">
        <v>170</v>
      </c>
    </row>
    <row r="145" spans="2:13" x14ac:dyDescent="0.3">
      <c r="B145" s="38" t="s">
        <v>101</v>
      </c>
      <c r="C145" s="11">
        <v>2414.8000000000002</v>
      </c>
      <c r="D145" s="49">
        <f t="shared" si="15"/>
        <v>-0.30941278780851417</v>
      </c>
      <c r="E145" s="11">
        <v>1667.63</v>
      </c>
      <c r="F145" s="49">
        <f t="shared" si="16"/>
        <v>1.6861554021775411</v>
      </c>
      <c r="G145" s="11">
        <v>7399.8040000000001</v>
      </c>
      <c r="H145" s="11">
        <v>2393.5914285714284</v>
      </c>
      <c r="I145" s="11">
        <v>4479.5133333333333</v>
      </c>
      <c r="J145" s="55">
        <f t="shared" si="17"/>
        <v>-0.77676146367090471</v>
      </c>
      <c r="K145" s="53">
        <v>1000</v>
      </c>
      <c r="L145" s="14">
        <f t="shared" si="18"/>
        <v>12000</v>
      </c>
    </row>
    <row r="146" spans="2:13" x14ac:dyDescent="0.3">
      <c r="B146" s="38" t="s">
        <v>102</v>
      </c>
      <c r="C146" s="11">
        <v>5552.47</v>
      </c>
      <c r="D146" s="49">
        <f t="shared" si="15"/>
        <v>-0.32467532467532473</v>
      </c>
      <c r="E146" s="11">
        <v>3749.72</v>
      </c>
      <c r="F146" s="49">
        <f t="shared" si="16"/>
        <v>-0.23263914816750747</v>
      </c>
      <c r="G146" s="11">
        <v>3985.732</v>
      </c>
      <c r="H146" s="11">
        <v>2085.7142857142858</v>
      </c>
      <c r="I146" s="11">
        <v>2877.3883333333338</v>
      </c>
      <c r="J146" s="55">
        <f t="shared" si="17"/>
        <v>-0.65246262090680618</v>
      </c>
      <c r="K146" s="53">
        <v>1000</v>
      </c>
      <c r="L146" s="14">
        <f t="shared" si="18"/>
        <v>12000</v>
      </c>
    </row>
    <row r="147" spans="2:13" x14ac:dyDescent="0.3">
      <c r="B147" s="10" t="s">
        <v>103</v>
      </c>
      <c r="C147" s="11">
        <v>303.60000000000002</v>
      </c>
      <c r="D147" s="49">
        <f t="shared" si="15"/>
        <v>-0.78274044795783937</v>
      </c>
      <c r="E147" s="11">
        <v>65.959999999999994</v>
      </c>
      <c r="F147" s="49">
        <f t="shared" si="16"/>
        <v>24.433217101273502</v>
      </c>
      <c r="G147" s="11">
        <v>0</v>
      </c>
      <c r="H147" s="11">
        <v>2875.8428571428572</v>
      </c>
      <c r="I147" s="11">
        <v>1677.575</v>
      </c>
      <c r="J147" s="55">
        <f t="shared" si="17"/>
        <v>1.2651744333338302</v>
      </c>
      <c r="K147" s="53">
        <v>3800</v>
      </c>
      <c r="L147" s="14">
        <f t="shared" si="18"/>
        <v>45600</v>
      </c>
    </row>
    <row r="148" spans="2:13" x14ac:dyDescent="0.3">
      <c r="B148" s="38" t="s">
        <v>104</v>
      </c>
      <c r="C148" s="11">
        <v>305.83</v>
      </c>
      <c r="D148" s="49">
        <f t="shared" si="15"/>
        <v>7.0206650753686697</v>
      </c>
      <c r="E148" s="11">
        <v>2452.96</v>
      </c>
      <c r="F148" s="49">
        <f t="shared" si="16"/>
        <v>0.38772136520774886</v>
      </c>
      <c r="G148" s="11">
        <v>8169.66</v>
      </c>
      <c r="H148" s="11">
        <v>0</v>
      </c>
      <c r="I148" s="11">
        <v>3404.0249999999996</v>
      </c>
      <c r="J148" s="55" t="s">
        <v>170</v>
      </c>
      <c r="K148" s="53" t="s">
        <v>170</v>
      </c>
      <c r="L148" s="14" t="s">
        <v>170</v>
      </c>
    </row>
    <row r="149" spans="2:13" x14ac:dyDescent="0.3">
      <c r="B149" s="90" t="s">
        <v>105</v>
      </c>
      <c r="C149" s="86">
        <v>0</v>
      </c>
      <c r="D149" s="87" t="s">
        <v>170</v>
      </c>
      <c r="E149" s="86">
        <v>14200</v>
      </c>
      <c r="F149" s="87">
        <f t="shared" si="16"/>
        <v>0.91359953051643172</v>
      </c>
      <c r="G149" s="86">
        <v>6664</v>
      </c>
      <c r="H149" s="86">
        <v>41822.479999999996</v>
      </c>
      <c r="I149" s="86">
        <v>27173.113333333331</v>
      </c>
      <c r="J149" s="88">
        <f t="shared" si="17"/>
        <v>0.28803790609688462</v>
      </c>
      <c r="K149" s="91">
        <v>35000</v>
      </c>
      <c r="L149" s="89">
        <f t="shared" si="18"/>
        <v>420000</v>
      </c>
      <c r="M149" s="103">
        <f>K149/K195</f>
        <v>7.2077122583026593E-2</v>
      </c>
    </row>
    <row r="150" spans="2:13" x14ac:dyDescent="0.3">
      <c r="B150" s="38" t="s">
        <v>106</v>
      </c>
      <c r="C150" s="11">
        <v>125.2</v>
      </c>
      <c r="D150" s="49">
        <f t="shared" si="15"/>
        <v>6.0219648562300314</v>
      </c>
      <c r="E150" s="11">
        <v>879.15</v>
      </c>
      <c r="F150" s="49">
        <f t="shared" si="16"/>
        <v>2.0067186107793518</v>
      </c>
      <c r="G150" s="11">
        <v>6029.116</v>
      </c>
      <c r="H150" s="11">
        <v>224.95714285714286</v>
      </c>
      <c r="I150" s="11">
        <v>2643.356666666667</v>
      </c>
      <c r="J150" s="55">
        <f t="shared" si="17"/>
        <v>-0.90542328125729032</v>
      </c>
      <c r="K150" s="53">
        <v>250</v>
      </c>
      <c r="L150" s="14">
        <f t="shared" si="18"/>
        <v>3000</v>
      </c>
    </row>
    <row r="151" spans="2:13" x14ac:dyDescent="0.3">
      <c r="B151" s="38" t="s">
        <v>107</v>
      </c>
      <c r="C151" s="11">
        <v>216.36</v>
      </c>
      <c r="D151" s="49">
        <f t="shared" si="15"/>
        <v>-0.93067110371602879</v>
      </c>
      <c r="E151" s="11">
        <v>15</v>
      </c>
      <c r="F151" s="49">
        <f t="shared" si="16"/>
        <v>33.631499999999996</v>
      </c>
      <c r="G151" s="11">
        <v>152.078</v>
      </c>
      <c r="H151" s="11">
        <v>781.89714285714297</v>
      </c>
      <c r="I151" s="11">
        <v>519.47249999999997</v>
      </c>
      <c r="J151" s="55">
        <f t="shared" si="17"/>
        <v>-0.51874257058843343</v>
      </c>
      <c r="K151" s="53">
        <v>250</v>
      </c>
      <c r="L151" s="14">
        <f t="shared" si="18"/>
        <v>3000</v>
      </c>
    </row>
    <row r="152" spans="2:13" x14ac:dyDescent="0.3">
      <c r="B152" s="38" t="s">
        <v>108</v>
      </c>
      <c r="C152" s="11">
        <v>775</v>
      </c>
      <c r="D152" s="49">
        <f t="shared" si="15"/>
        <v>1.0935483870967742</v>
      </c>
      <c r="E152" s="11">
        <v>1622.5</v>
      </c>
      <c r="F152" s="49">
        <f t="shared" si="16"/>
        <v>0.97146635850025664</v>
      </c>
      <c r="G152" s="11">
        <v>1729.6</v>
      </c>
      <c r="H152" s="11">
        <v>4248.0642857142857</v>
      </c>
      <c r="I152" s="11">
        <v>3198.7041666666664</v>
      </c>
      <c r="J152" s="55">
        <f t="shared" si="17"/>
        <v>0.8444969251871528</v>
      </c>
      <c r="K152" s="53">
        <v>5900</v>
      </c>
      <c r="L152" s="14">
        <f t="shared" si="18"/>
        <v>70800</v>
      </c>
    </row>
    <row r="153" spans="2:13" x14ac:dyDescent="0.3">
      <c r="B153" s="10" t="s">
        <v>109</v>
      </c>
      <c r="C153" s="11">
        <v>145</v>
      </c>
      <c r="D153" s="49">
        <f t="shared" si="15"/>
        <v>0.16551724137931034</v>
      </c>
      <c r="E153" s="11">
        <v>169</v>
      </c>
      <c r="F153" s="49">
        <f t="shared" si="16"/>
        <v>1.3328402366863905</v>
      </c>
      <c r="G153" s="11">
        <v>364.2</v>
      </c>
      <c r="H153" s="11">
        <v>415.71428571428572</v>
      </c>
      <c r="I153" s="11">
        <v>394.25</v>
      </c>
      <c r="J153" s="55">
        <f t="shared" si="17"/>
        <v>3.9999999999999952E-2</v>
      </c>
      <c r="K153" s="53">
        <v>410.02</v>
      </c>
      <c r="L153" s="14">
        <f t="shared" si="18"/>
        <v>4920.24</v>
      </c>
    </row>
    <row r="154" spans="2:13" x14ac:dyDescent="0.3">
      <c r="B154" s="10" t="s">
        <v>110</v>
      </c>
      <c r="C154" s="11">
        <v>0</v>
      </c>
      <c r="D154" s="49" t="s">
        <v>170</v>
      </c>
      <c r="E154" s="11">
        <v>77.5</v>
      </c>
      <c r="F154" s="49" t="s">
        <v>170</v>
      </c>
      <c r="G154" s="11">
        <v>0</v>
      </c>
      <c r="H154" s="11">
        <v>0</v>
      </c>
      <c r="I154" s="11">
        <v>0</v>
      </c>
      <c r="J154" s="55" t="s">
        <v>170</v>
      </c>
      <c r="K154" s="53" t="s">
        <v>170</v>
      </c>
      <c r="L154" s="14" t="s">
        <v>170</v>
      </c>
    </row>
    <row r="155" spans="2:13" x14ac:dyDescent="0.3">
      <c r="B155" s="10" t="s">
        <v>111</v>
      </c>
      <c r="C155" s="11">
        <v>51.25</v>
      </c>
      <c r="D155" s="49">
        <f t="shared" si="15"/>
        <v>-0.10575609756097565</v>
      </c>
      <c r="E155" s="11">
        <v>45.83</v>
      </c>
      <c r="F155" s="49" t="s">
        <v>170</v>
      </c>
      <c r="G155" s="11">
        <v>0</v>
      </c>
      <c r="H155" s="11">
        <v>512.85714285714289</v>
      </c>
      <c r="I155" s="11">
        <v>299.16666666666669</v>
      </c>
      <c r="J155" s="55">
        <f t="shared" si="17"/>
        <v>3.9999999999999911E-2</v>
      </c>
      <c r="K155" s="53">
        <v>311.13333333333333</v>
      </c>
      <c r="L155" s="14">
        <f t="shared" si="18"/>
        <v>3733.6</v>
      </c>
    </row>
    <row r="156" spans="2:13" x14ac:dyDescent="0.3">
      <c r="B156" s="10" t="s">
        <v>112</v>
      </c>
      <c r="C156" s="11">
        <v>0</v>
      </c>
      <c r="D156" s="49" t="s">
        <v>170</v>
      </c>
      <c r="E156" s="11">
        <v>79.349999999999994</v>
      </c>
      <c r="F156" s="49" t="s">
        <v>170</v>
      </c>
      <c r="G156" s="11">
        <v>0</v>
      </c>
      <c r="H156" s="11">
        <v>405.52428571428572</v>
      </c>
      <c r="I156" s="11">
        <v>236.55583333333334</v>
      </c>
      <c r="J156" s="55" t="s">
        <v>170</v>
      </c>
      <c r="K156" s="53" t="s">
        <v>170</v>
      </c>
      <c r="L156" s="14" t="s">
        <v>170</v>
      </c>
    </row>
    <row r="157" spans="2:13" x14ac:dyDescent="0.3">
      <c r="B157" s="10" t="s">
        <v>113</v>
      </c>
      <c r="C157" s="11">
        <v>86.62</v>
      </c>
      <c r="D157" s="49">
        <f t="shared" si="15"/>
        <v>0.69776033248672353</v>
      </c>
      <c r="E157" s="11">
        <v>147.06</v>
      </c>
      <c r="F157" s="49" t="s">
        <v>170</v>
      </c>
      <c r="G157" s="11">
        <v>0</v>
      </c>
      <c r="H157" s="11">
        <v>43.571428571428569</v>
      </c>
      <c r="I157" s="11">
        <v>25.416666666666668</v>
      </c>
      <c r="J157" s="55">
        <f t="shared" si="17"/>
        <v>4.1999999999999961E-2</v>
      </c>
      <c r="K157" s="53">
        <v>26.484166666666667</v>
      </c>
      <c r="L157" s="14">
        <f t="shared" si="18"/>
        <v>317.81</v>
      </c>
    </row>
    <row r="158" spans="2:13" x14ac:dyDescent="0.3">
      <c r="B158" s="10" t="s">
        <v>114</v>
      </c>
      <c r="C158" s="11">
        <v>36.67</v>
      </c>
      <c r="D158" s="49">
        <f t="shared" si="15"/>
        <v>5.5298609217343868</v>
      </c>
      <c r="E158" s="11">
        <v>239.45</v>
      </c>
      <c r="F158" s="49">
        <f t="shared" si="16"/>
        <v>-0.18261293241456111</v>
      </c>
      <c r="G158" s="11">
        <v>334.34399999999999</v>
      </c>
      <c r="H158" s="11">
        <v>96.708571428571432</v>
      </c>
      <c r="I158" s="11">
        <v>195.72333333333333</v>
      </c>
      <c r="J158" s="55">
        <f t="shared" si="17"/>
        <v>-0.50588415620689065</v>
      </c>
      <c r="K158" s="53">
        <v>96.71</v>
      </c>
      <c r="L158" s="14">
        <f t="shared" si="18"/>
        <v>1160.52</v>
      </c>
    </row>
    <row r="159" spans="2:13" x14ac:dyDescent="0.3">
      <c r="B159" s="10" t="s">
        <v>115</v>
      </c>
      <c r="C159" s="11">
        <v>0</v>
      </c>
      <c r="D159" s="49" t="s">
        <v>170</v>
      </c>
      <c r="E159" s="11">
        <v>3.09</v>
      </c>
      <c r="F159" s="49">
        <f t="shared" si="16"/>
        <v>-1</v>
      </c>
      <c r="G159" s="11">
        <v>0</v>
      </c>
      <c r="H159" s="11">
        <v>0</v>
      </c>
      <c r="I159" s="11">
        <v>0</v>
      </c>
      <c r="J159" s="55" t="s">
        <v>170</v>
      </c>
      <c r="K159" s="53" t="s">
        <v>170</v>
      </c>
      <c r="L159" s="14" t="s">
        <v>170</v>
      </c>
    </row>
    <row r="160" spans="2:13" x14ac:dyDescent="0.3">
      <c r="B160" s="10" t="s">
        <v>116</v>
      </c>
      <c r="C160" s="11">
        <v>35.42</v>
      </c>
      <c r="D160" s="49">
        <f t="shared" si="15"/>
        <v>-1</v>
      </c>
      <c r="E160" s="11">
        <v>0</v>
      </c>
      <c r="F160" s="49" t="s">
        <v>170</v>
      </c>
      <c r="G160" s="11">
        <v>0</v>
      </c>
      <c r="H160" s="11">
        <v>0</v>
      </c>
      <c r="I160" s="11">
        <v>0</v>
      </c>
      <c r="J160" s="55" t="s">
        <v>170</v>
      </c>
      <c r="K160" s="53" t="s">
        <v>170</v>
      </c>
      <c r="L160" s="14" t="s">
        <v>170</v>
      </c>
    </row>
    <row r="161" spans="2:12" x14ac:dyDescent="0.3">
      <c r="B161" s="10" t="s">
        <v>117</v>
      </c>
      <c r="C161" s="11">
        <v>0</v>
      </c>
      <c r="D161" s="49" t="s">
        <v>170</v>
      </c>
      <c r="E161" s="11">
        <v>41.67</v>
      </c>
      <c r="F161" s="49" t="s">
        <v>170</v>
      </c>
      <c r="G161" s="11">
        <v>0</v>
      </c>
      <c r="H161" s="11">
        <v>0</v>
      </c>
      <c r="I161" s="11">
        <v>0</v>
      </c>
      <c r="J161" s="55" t="s">
        <v>170</v>
      </c>
      <c r="K161" s="53" t="s">
        <v>170</v>
      </c>
      <c r="L161" s="14" t="s">
        <v>170</v>
      </c>
    </row>
    <row r="162" spans="2:12" x14ac:dyDescent="0.3">
      <c r="B162" s="10" t="s">
        <v>118</v>
      </c>
      <c r="C162" s="11">
        <v>0</v>
      </c>
      <c r="D162" s="49" t="s">
        <v>170</v>
      </c>
      <c r="E162" s="11">
        <v>1264.73</v>
      </c>
      <c r="F162" s="49" t="s">
        <v>170</v>
      </c>
      <c r="G162" s="11">
        <v>0</v>
      </c>
      <c r="H162" s="11">
        <v>0</v>
      </c>
      <c r="I162" s="11">
        <v>0</v>
      </c>
      <c r="J162" s="55" t="s">
        <v>170</v>
      </c>
      <c r="K162" s="53" t="s">
        <v>170</v>
      </c>
      <c r="L162" s="14" t="s">
        <v>170</v>
      </c>
    </row>
    <row r="163" spans="2:12" x14ac:dyDescent="0.3">
      <c r="B163" s="10" t="s">
        <v>119</v>
      </c>
      <c r="C163" s="11">
        <v>166.67</v>
      </c>
      <c r="D163" s="49">
        <f t="shared" si="15"/>
        <v>-0.51250974980500386</v>
      </c>
      <c r="E163" s="11">
        <v>81.25</v>
      </c>
      <c r="F163" s="49" t="s">
        <v>170</v>
      </c>
      <c r="G163" s="11">
        <v>0</v>
      </c>
      <c r="H163" s="11">
        <v>0</v>
      </c>
      <c r="I163" s="11">
        <v>0</v>
      </c>
      <c r="J163" s="55" t="s">
        <v>170</v>
      </c>
      <c r="K163" s="53" t="s">
        <v>170</v>
      </c>
      <c r="L163" s="14" t="s">
        <v>170</v>
      </c>
    </row>
    <row r="164" spans="2:12" x14ac:dyDescent="0.3">
      <c r="B164" s="10" t="s">
        <v>120</v>
      </c>
      <c r="C164" s="11">
        <v>74.58</v>
      </c>
      <c r="D164" s="49">
        <f t="shared" si="15"/>
        <v>-9.0506838294448916E-2</v>
      </c>
      <c r="E164" s="11">
        <v>67.83</v>
      </c>
      <c r="F164" s="49">
        <f t="shared" si="16"/>
        <v>-6.9978868740478595E-2</v>
      </c>
      <c r="G164" s="11">
        <v>0</v>
      </c>
      <c r="H164" s="11">
        <v>108.14285714285714</v>
      </c>
      <c r="I164" s="11">
        <v>63.083333333333336</v>
      </c>
      <c r="J164" s="55">
        <f t="shared" si="17"/>
        <v>4.199999999999994E-2</v>
      </c>
      <c r="K164" s="53">
        <v>65.732833333333332</v>
      </c>
      <c r="L164" s="14">
        <f t="shared" si="18"/>
        <v>788.79399999999998</v>
      </c>
    </row>
    <row r="165" spans="2:12" x14ac:dyDescent="0.3">
      <c r="B165" s="10" t="s">
        <v>121</v>
      </c>
      <c r="C165" s="11">
        <v>167.36</v>
      </c>
      <c r="D165" s="49">
        <f t="shared" si="15"/>
        <v>-5.132648183556407E-2</v>
      </c>
      <c r="E165" s="11">
        <v>158.77000000000001</v>
      </c>
      <c r="F165" s="49">
        <f t="shared" si="16"/>
        <v>1.7346948415947596</v>
      </c>
      <c r="G165" s="11">
        <v>470</v>
      </c>
      <c r="H165" s="11">
        <v>408.60714285714283</v>
      </c>
      <c r="I165" s="11">
        <v>434.1875</v>
      </c>
      <c r="J165" s="55">
        <f t="shared" si="17"/>
        <v>4.2000000000000051E-2</v>
      </c>
      <c r="K165" s="53">
        <v>452.42337500000002</v>
      </c>
      <c r="L165" s="14">
        <f t="shared" si="18"/>
        <v>5429.0805</v>
      </c>
    </row>
    <row r="166" spans="2:12" x14ac:dyDescent="0.3">
      <c r="B166" s="10" t="s">
        <v>122</v>
      </c>
      <c r="C166" s="11">
        <v>69.17</v>
      </c>
      <c r="D166" s="49">
        <f t="shared" si="15"/>
        <v>-0.78314298106115365</v>
      </c>
      <c r="E166" s="11">
        <v>15</v>
      </c>
      <c r="F166" s="49">
        <f t="shared" si="16"/>
        <v>2.6111111111111112</v>
      </c>
      <c r="G166" s="11">
        <v>8</v>
      </c>
      <c r="H166" s="11">
        <v>87.142857142857139</v>
      </c>
      <c r="I166" s="11">
        <v>54.166666666666664</v>
      </c>
      <c r="J166" s="55">
        <f t="shared" si="17"/>
        <v>24.039938461538458</v>
      </c>
      <c r="K166" s="53">
        <v>1356.33</v>
      </c>
      <c r="L166" s="14">
        <f t="shared" si="18"/>
        <v>16275.96</v>
      </c>
    </row>
    <row r="167" spans="2:12" x14ac:dyDescent="0.3">
      <c r="B167" s="10" t="s">
        <v>123</v>
      </c>
      <c r="C167" s="11">
        <v>0</v>
      </c>
      <c r="D167" s="49" t="s">
        <v>170</v>
      </c>
      <c r="E167" s="11">
        <v>3.46</v>
      </c>
      <c r="F167" s="49" t="s">
        <v>170</v>
      </c>
      <c r="G167" s="11">
        <v>0</v>
      </c>
      <c r="H167" s="11">
        <v>0</v>
      </c>
      <c r="I167" s="11">
        <v>0</v>
      </c>
      <c r="J167" s="55" t="s">
        <v>170</v>
      </c>
      <c r="K167" s="53" t="s">
        <v>170</v>
      </c>
      <c r="L167" s="14" t="s">
        <v>170</v>
      </c>
    </row>
    <row r="168" spans="2:12" x14ac:dyDescent="0.3">
      <c r="B168" s="10" t="s">
        <v>124</v>
      </c>
      <c r="C168" s="11">
        <v>24.17</v>
      </c>
      <c r="D168" s="49">
        <f t="shared" si="15"/>
        <v>-0.48282995448903604</v>
      </c>
      <c r="E168" s="11">
        <v>12.5</v>
      </c>
      <c r="F168" s="49" t="s">
        <v>170</v>
      </c>
      <c r="G168" s="11">
        <v>0</v>
      </c>
      <c r="H168" s="11">
        <v>0</v>
      </c>
      <c r="I168" s="11">
        <v>0</v>
      </c>
      <c r="J168" s="55" t="s">
        <v>170</v>
      </c>
      <c r="K168" s="53" t="s">
        <v>170</v>
      </c>
      <c r="L168" s="14" t="s">
        <v>170</v>
      </c>
    </row>
    <row r="169" spans="2:12" x14ac:dyDescent="0.3">
      <c r="B169" s="10" t="s">
        <v>125</v>
      </c>
      <c r="C169" s="11">
        <v>0</v>
      </c>
      <c r="D169" s="49" t="s">
        <v>170</v>
      </c>
      <c r="E169" s="11">
        <v>1366.67</v>
      </c>
      <c r="F169" s="49" t="s">
        <v>170</v>
      </c>
      <c r="G169" s="11">
        <v>0</v>
      </c>
      <c r="H169" s="11">
        <v>0</v>
      </c>
      <c r="I169" s="11">
        <v>0</v>
      </c>
      <c r="J169" s="55" t="s">
        <v>170</v>
      </c>
      <c r="K169" s="53" t="s">
        <v>170</v>
      </c>
      <c r="L169" s="14" t="s">
        <v>170</v>
      </c>
    </row>
    <row r="170" spans="2:12" x14ac:dyDescent="0.3">
      <c r="B170" s="10" t="s">
        <v>126</v>
      </c>
      <c r="C170" s="11">
        <v>27.5</v>
      </c>
      <c r="D170" s="49">
        <f t="shared" si="15"/>
        <v>-1</v>
      </c>
      <c r="E170" s="11">
        <v>0</v>
      </c>
      <c r="F170" s="49" t="s">
        <v>170</v>
      </c>
      <c r="G170" s="11">
        <v>0</v>
      </c>
      <c r="H170" s="11">
        <v>64.857142857142861</v>
      </c>
      <c r="I170" s="11">
        <v>37.833333333333336</v>
      </c>
      <c r="J170" s="55">
        <f t="shared" si="17"/>
        <v>4.1999999999999961E-2</v>
      </c>
      <c r="K170" s="53">
        <v>39.422333333333334</v>
      </c>
      <c r="L170" s="14">
        <f t="shared" si="18"/>
        <v>473.06799999999998</v>
      </c>
    </row>
    <row r="171" spans="2:12" x14ac:dyDescent="0.3">
      <c r="B171" s="10" t="s">
        <v>127</v>
      </c>
      <c r="C171" s="11">
        <v>504.68</v>
      </c>
      <c r="D171" s="49">
        <f t="shared" si="15"/>
        <v>-0.38779028295157325</v>
      </c>
      <c r="E171" s="11">
        <v>308.97000000000003</v>
      </c>
      <c r="F171" s="49">
        <f t="shared" si="16"/>
        <v>-0.77756200709885526</v>
      </c>
      <c r="G171" s="11">
        <v>0</v>
      </c>
      <c r="H171" s="11">
        <v>117.81714285714285</v>
      </c>
      <c r="I171" s="11">
        <v>68.726666666666674</v>
      </c>
      <c r="J171" s="55">
        <f t="shared" si="17"/>
        <v>1.4299156077214081</v>
      </c>
      <c r="K171" s="53">
        <v>167</v>
      </c>
      <c r="L171" s="14">
        <f t="shared" si="18"/>
        <v>2004</v>
      </c>
    </row>
    <row r="172" spans="2:12" x14ac:dyDescent="0.3">
      <c r="B172" s="10" t="s">
        <v>128</v>
      </c>
      <c r="C172" s="11">
        <v>3404</v>
      </c>
      <c r="D172" s="49">
        <f t="shared" si="15"/>
        <v>-1</v>
      </c>
      <c r="E172" s="11">
        <v>0</v>
      </c>
      <c r="F172" s="49" t="s">
        <v>170</v>
      </c>
      <c r="G172" s="11">
        <v>0</v>
      </c>
      <c r="H172" s="11">
        <v>0</v>
      </c>
      <c r="I172" s="11">
        <v>0</v>
      </c>
      <c r="J172" s="55" t="s">
        <v>170</v>
      </c>
      <c r="K172" s="53" t="s">
        <v>170</v>
      </c>
      <c r="L172" s="14" t="s">
        <v>170</v>
      </c>
    </row>
    <row r="173" spans="2:12" x14ac:dyDescent="0.3">
      <c r="B173" s="10" t="s">
        <v>129</v>
      </c>
      <c r="C173" s="11">
        <v>0</v>
      </c>
      <c r="D173" s="49" t="s">
        <v>170</v>
      </c>
      <c r="E173" s="11">
        <v>416.67</v>
      </c>
      <c r="F173" s="49" t="s">
        <v>170</v>
      </c>
      <c r="G173" s="11">
        <v>0</v>
      </c>
      <c r="H173" s="11">
        <v>0</v>
      </c>
      <c r="I173" s="11">
        <v>0</v>
      </c>
      <c r="J173" s="55" t="s">
        <v>170</v>
      </c>
      <c r="K173" s="53" t="s">
        <v>170</v>
      </c>
      <c r="L173" s="14" t="s">
        <v>170</v>
      </c>
    </row>
    <row r="174" spans="2:12" x14ac:dyDescent="0.3">
      <c r="B174" s="10" t="s">
        <v>130</v>
      </c>
      <c r="C174" s="11">
        <v>16.25</v>
      </c>
      <c r="D174" s="49" t="s">
        <v>170</v>
      </c>
      <c r="E174" s="11">
        <v>0</v>
      </c>
      <c r="F174" s="49" t="s">
        <v>170</v>
      </c>
      <c r="G174" s="11">
        <v>0</v>
      </c>
      <c r="H174" s="11">
        <v>0</v>
      </c>
      <c r="I174" s="11">
        <v>0</v>
      </c>
      <c r="J174" s="55" t="s">
        <v>170</v>
      </c>
      <c r="K174" s="53" t="s">
        <v>170</v>
      </c>
      <c r="L174" s="14" t="s">
        <v>170</v>
      </c>
    </row>
    <row r="175" spans="2:12" ht="15.75" thickBot="1" x14ac:dyDescent="0.35">
      <c r="B175" s="38" t="s">
        <v>131</v>
      </c>
      <c r="C175" s="11">
        <v>127.91</v>
      </c>
      <c r="D175" s="49">
        <f t="shared" si="15"/>
        <v>3.5319365178641231</v>
      </c>
      <c r="E175" s="11">
        <v>579.67999999999995</v>
      </c>
      <c r="F175" s="49">
        <f t="shared" si="16"/>
        <v>0.76533460989971513</v>
      </c>
      <c r="G175" s="11">
        <v>363.08</v>
      </c>
      <c r="H175" s="11">
        <v>1494.9357142857141</v>
      </c>
      <c r="I175" s="11">
        <v>1023.3291666666668</v>
      </c>
      <c r="J175" s="55">
        <f t="shared" si="17"/>
        <v>-0.41367839445600352</v>
      </c>
      <c r="K175" s="53">
        <v>600</v>
      </c>
      <c r="L175" s="14">
        <f>K175*12</f>
        <v>7200</v>
      </c>
    </row>
    <row r="176" spans="2:12" ht="17.25" thickBot="1" x14ac:dyDescent="0.35">
      <c r="B176" s="58" t="s">
        <v>180</v>
      </c>
      <c r="C176" s="59">
        <v>30583.919999999998</v>
      </c>
      <c r="D176" s="60">
        <f t="shared" si="15"/>
        <v>0.85826963973225145</v>
      </c>
      <c r="E176" s="59">
        <v>56833.17</v>
      </c>
      <c r="F176" s="60">
        <f t="shared" si="16"/>
        <v>0.51627174764314576</v>
      </c>
      <c r="G176" s="59">
        <v>59943.68</v>
      </c>
      <c r="H176" s="59">
        <v>104910.86</v>
      </c>
      <c r="I176" s="59">
        <v>86174.53</v>
      </c>
      <c r="J176" s="63">
        <f>(K176-I176)/I176</f>
        <v>0.10569568287752766</v>
      </c>
      <c r="K176" s="61">
        <f>SUM(K114:K175)</f>
        <v>95282.805794999993</v>
      </c>
      <c r="L176" s="62">
        <f>K176*12</f>
        <v>1143393.6695399999</v>
      </c>
    </row>
    <row r="177" spans="2:12" ht="15.6" customHeight="1" thickBot="1" x14ac:dyDescent="0.35">
      <c r="B177" s="144" t="s">
        <v>132</v>
      </c>
      <c r="C177" s="146">
        <v>2023</v>
      </c>
      <c r="D177" s="148" t="s">
        <v>186</v>
      </c>
      <c r="E177" s="150">
        <v>2024</v>
      </c>
      <c r="F177" s="148" t="s">
        <v>185</v>
      </c>
      <c r="G177" s="152">
        <v>2025</v>
      </c>
      <c r="H177" s="153"/>
      <c r="I177" s="154"/>
      <c r="J177" s="155" t="s">
        <v>184</v>
      </c>
      <c r="K177" s="142" t="s">
        <v>1</v>
      </c>
      <c r="L177" s="140" t="s">
        <v>2</v>
      </c>
    </row>
    <row r="178" spans="2:12" ht="45" x14ac:dyDescent="0.3">
      <c r="B178" s="145"/>
      <c r="C178" s="147"/>
      <c r="D178" s="149" t="s">
        <v>183</v>
      </c>
      <c r="E178" s="151"/>
      <c r="F178" s="149" t="s">
        <v>183</v>
      </c>
      <c r="G178" s="43" t="s">
        <v>3</v>
      </c>
      <c r="H178" s="43" t="s">
        <v>171</v>
      </c>
      <c r="I178" s="43" t="s">
        <v>4</v>
      </c>
      <c r="J178" s="156"/>
      <c r="K178" s="143"/>
      <c r="L178" s="141"/>
    </row>
    <row r="179" spans="2:12" x14ac:dyDescent="0.3">
      <c r="B179" s="10" t="s">
        <v>133</v>
      </c>
      <c r="C179" s="11">
        <v>1113.1500000000001</v>
      </c>
      <c r="D179" s="49">
        <f t="shared" ref="D179:D195" si="19">(E179-C179)/C179</f>
        <v>0.26676548533441119</v>
      </c>
      <c r="E179" s="11">
        <v>1410.1</v>
      </c>
      <c r="F179" s="49">
        <f t="shared" ref="F179:F195" si="20">(I179-E179)/E179</f>
        <v>4.8900196203579098E-2</v>
      </c>
      <c r="G179" s="11">
        <v>579.04999999999995</v>
      </c>
      <c r="H179" s="11">
        <v>2121.9142857142856</v>
      </c>
      <c r="I179" s="11">
        <v>1479.0541666666668</v>
      </c>
      <c r="J179" s="55">
        <f t="shared" ref="J179:J192" si="21">(K179-I179)/I179</f>
        <v>-0.69575150786116124</v>
      </c>
      <c r="K179" s="53">
        <v>450</v>
      </c>
      <c r="L179" s="14">
        <f>K179*12</f>
        <v>5400</v>
      </c>
    </row>
    <row r="180" spans="2:12" x14ac:dyDescent="0.3">
      <c r="B180" s="10" t="s">
        <v>134</v>
      </c>
      <c r="C180" s="11">
        <v>192.21</v>
      </c>
      <c r="D180" s="49">
        <f t="shared" si="19"/>
        <v>0.89672753758909518</v>
      </c>
      <c r="E180" s="11">
        <v>364.57</v>
      </c>
      <c r="F180" s="49">
        <f t="shared" si="20"/>
        <v>-0.50186749686845689</v>
      </c>
      <c r="G180" s="11">
        <v>244.422</v>
      </c>
      <c r="H180" s="11">
        <v>136.73428571428573</v>
      </c>
      <c r="I180" s="11">
        <v>181.60416666666666</v>
      </c>
      <c r="J180" s="55">
        <f t="shared" si="21"/>
        <v>-0.17402776184467128</v>
      </c>
      <c r="K180" s="53">
        <v>150</v>
      </c>
      <c r="L180" s="14">
        <f t="shared" ref="L180:L193" si="22">K180*12</f>
        <v>1800</v>
      </c>
    </row>
    <row r="181" spans="2:12" x14ac:dyDescent="0.3">
      <c r="B181" s="10" t="s">
        <v>135</v>
      </c>
      <c r="C181" s="11">
        <v>454.61</v>
      </c>
      <c r="D181" s="49">
        <f t="shared" si="19"/>
        <v>-0.67954950397043623</v>
      </c>
      <c r="E181" s="11">
        <v>145.68</v>
      </c>
      <c r="F181" s="49">
        <f t="shared" si="20"/>
        <v>0.64615367014460934</v>
      </c>
      <c r="G181" s="11">
        <v>575.548</v>
      </c>
      <c r="H181" s="11">
        <v>0</v>
      </c>
      <c r="I181" s="11">
        <v>239.8116666666667</v>
      </c>
      <c r="J181" s="55">
        <f t="shared" si="21"/>
        <v>0.25098167311848868</v>
      </c>
      <c r="K181" s="53">
        <v>300</v>
      </c>
      <c r="L181" s="14">
        <f t="shared" si="22"/>
        <v>3600</v>
      </c>
    </row>
    <row r="182" spans="2:12" x14ac:dyDescent="0.3">
      <c r="B182" s="10" t="s">
        <v>136</v>
      </c>
      <c r="C182" s="11">
        <v>91.83</v>
      </c>
      <c r="D182" s="49">
        <f t="shared" si="19"/>
        <v>-0.33964935206359576</v>
      </c>
      <c r="E182" s="11">
        <v>60.64</v>
      </c>
      <c r="F182" s="49">
        <f t="shared" si="20"/>
        <v>2.0270311125769571</v>
      </c>
      <c r="G182" s="11">
        <v>11</v>
      </c>
      <c r="H182" s="11">
        <v>306.81571428571431</v>
      </c>
      <c r="I182" s="11">
        <v>183.55916666666667</v>
      </c>
      <c r="J182" s="55">
        <f t="shared" si="21"/>
        <v>-0.6458907436748369</v>
      </c>
      <c r="K182" s="53">
        <v>65</v>
      </c>
      <c r="L182" s="14">
        <f t="shared" si="22"/>
        <v>780</v>
      </c>
    </row>
    <row r="183" spans="2:12" x14ac:dyDescent="0.3">
      <c r="B183" s="10" t="s">
        <v>137</v>
      </c>
      <c r="C183" s="11">
        <v>25</v>
      </c>
      <c r="D183" s="49">
        <f t="shared" si="19"/>
        <v>-0.28000000000000003</v>
      </c>
      <c r="E183" s="11">
        <v>18</v>
      </c>
      <c r="F183" s="49">
        <f t="shared" si="20"/>
        <v>-1</v>
      </c>
      <c r="G183" s="11">
        <v>0</v>
      </c>
      <c r="H183" s="11">
        <v>0</v>
      </c>
      <c r="I183" s="11">
        <v>0</v>
      </c>
      <c r="J183" s="55" t="s">
        <v>170</v>
      </c>
      <c r="K183" s="53" t="s">
        <v>170</v>
      </c>
      <c r="L183" s="14" t="s">
        <v>170</v>
      </c>
    </row>
    <row r="184" spans="2:12" x14ac:dyDescent="0.3">
      <c r="B184" s="10" t="s">
        <v>138</v>
      </c>
      <c r="C184" s="11">
        <v>224.99</v>
      </c>
      <c r="D184" s="49">
        <f t="shared" si="19"/>
        <v>-1</v>
      </c>
      <c r="E184" s="11">
        <v>0</v>
      </c>
      <c r="F184" s="49" t="s">
        <v>170</v>
      </c>
      <c r="G184" s="11">
        <v>52</v>
      </c>
      <c r="H184" s="11">
        <v>0</v>
      </c>
      <c r="I184" s="11">
        <v>21.666666666666668</v>
      </c>
      <c r="J184" s="55" t="s">
        <v>170</v>
      </c>
      <c r="K184" s="53" t="s">
        <v>170</v>
      </c>
      <c r="L184" s="14" t="s">
        <v>170</v>
      </c>
    </row>
    <row r="185" spans="2:12" x14ac:dyDescent="0.3">
      <c r="B185" s="10" t="s">
        <v>139</v>
      </c>
      <c r="C185" s="11">
        <v>0</v>
      </c>
      <c r="D185" s="49" t="s">
        <v>170</v>
      </c>
      <c r="E185" s="11">
        <v>0</v>
      </c>
      <c r="F185" s="49" t="s">
        <v>170</v>
      </c>
      <c r="G185" s="11">
        <v>0</v>
      </c>
      <c r="H185" s="11">
        <v>299.85714285714283</v>
      </c>
      <c r="I185" s="11">
        <v>174.91666666666666</v>
      </c>
      <c r="J185" s="55" t="s">
        <v>170</v>
      </c>
      <c r="K185" s="53" t="s">
        <v>170</v>
      </c>
      <c r="L185" s="14" t="s">
        <v>170</v>
      </c>
    </row>
    <row r="186" spans="2:12" x14ac:dyDescent="0.3">
      <c r="B186" s="10" t="s">
        <v>140</v>
      </c>
      <c r="C186" s="11">
        <v>0</v>
      </c>
      <c r="D186" s="49" t="s">
        <v>170</v>
      </c>
      <c r="E186" s="11">
        <v>375.62</v>
      </c>
      <c r="F186" s="49">
        <f t="shared" si="20"/>
        <v>2.4924214188097897</v>
      </c>
      <c r="G186" s="11">
        <v>2288.7759999999998</v>
      </c>
      <c r="H186" s="11">
        <v>614</v>
      </c>
      <c r="I186" s="11">
        <v>1311.8233333333333</v>
      </c>
      <c r="J186" s="55">
        <f t="shared" si="21"/>
        <v>-0.92377022312455692</v>
      </c>
      <c r="K186" s="53">
        <v>100</v>
      </c>
      <c r="L186" s="14">
        <f t="shared" si="22"/>
        <v>1200</v>
      </c>
    </row>
    <row r="187" spans="2:12" x14ac:dyDescent="0.3">
      <c r="B187" s="10" t="s">
        <v>141</v>
      </c>
      <c r="C187" s="11">
        <v>10.89</v>
      </c>
      <c r="D187" s="49" t="s">
        <v>170</v>
      </c>
      <c r="E187" s="11">
        <v>0</v>
      </c>
      <c r="F187" s="49" t="s">
        <v>170</v>
      </c>
      <c r="G187" s="11">
        <v>0</v>
      </c>
      <c r="H187" s="11">
        <v>609.84</v>
      </c>
      <c r="I187" s="11">
        <v>355.74</v>
      </c>
      <c r="J187" s="55">
        <f t="shared" si="21"/>
        <v>-0.43779164558385342</v>
      </c>
      <c r="K187" s="53">
        <v>200</v>
      </c>
      <c r="L187" s="14">
        <f t="shared" si="22"/>
        <v>2400</v>
      </c>
    </row>
    <row r="188" spans="2:12" x14ac:dyDescent="0.3">
      <c r="B188" s="10" t="s">
        <v>142</v>
      </c>
      <c r="C188" s="11">
        <v>0</v>
      </c>
      <c r="D188" s="49" t="s">
        <v>170</v>
      </c>
      <c r="E188" s="11">
        <v>0</v>
      </c>
      <c r="F188" s="49" t="s">
        <v>170</v>
      </c>
      <c r="G188" s="11">
        <v>0</v>
      </c>
      <c r="H188" s="11">
        <v>10440</v>
      </c>
      <c r="I188" s="11">
        <v>6090</v>
      </c>
      <c r="J188" s="55" t="s">
        <v>170</v>
      </c>
      <c r="K188" s="53" t="s">
        <v>170</v>
      </c>
      <c r="L188" s="14" t="s">
        <v>170</v>
      </c>
    </row>
    <row r="189" spans="2:12" x14ac:dyDescent="0.3">
      <c r="B189" s="10" t="s">
        <v>143</v>
      </c>
      <c r="C189" s="11">
        <v>95.43</v>
      </c>
      <c r="D189" s="49">
        <f t="shared" si="19"/>
        <v>-1.9490726186733875E-2</v>
      </c>
      <c r="E189" s="11">
        <v>93.57</v>
      </c>
      <c r="F189" s="49">
        <f t="shared" si="20"/>
        <v>20.016930283922914</v>
      </c>
      <c r="G189" s="11">
        <v>3729.73</v>
      </c>
      <c r="H189" s="11">
        <v>707.14285714285711</v>
      </c>
      <c r="I189" s="11">
        <v>1966.5541666666668</v>
      </c>
      <c r="J189" s="55" t="s">
        <v>170</v>
      </c>
      <c r="K189" s="53" t="s">
        <v>170</v>
      </c>
      <c r="L189" s="14" t="s">
        <v>170</v>
      </c>
    </row>
    <row r="190" spans="2:12" x14ac:dyDescent="0.3">
      <c r="B190" s="10" t="s">
        <v>144</v>
      </c>
      <c r="C190" s="11">
        <v>233.83</v>
      </c>
      <c r="D190" s="49" t="s">
        <v>170</v>
      </c>
      <c r="E190" s="11">
        <v>0</v>
      </c>
      <c r="F190" s="49" t="s">
        <v>170</v>
      </c>
      <c r="G190" s="11">
        <v>0</v>
      </c>
      <c r="H190" s="11">
        <v>0</v>
      </c>
      <c r="I190" s="11">
        <v>0</v>
      </c>
      <c r="J190" s="55" t="s">
        <v>170</v>
      </c>
      <c r="K190" s="14" t="s">
        <v>170</v>
      </c>
      <c r="L190" s="14" t="s">
        <v>170</v>
      </c>
    </row>
    <row r="191" spans="2:12" x14ac:dyDescent="0.3">
      <c r="B191" s="10" t="s">
        <v>145</v>
      </c>
      <c r="C191" s="11">
        <v>60.75</v>
      </c>
      <c r="D191" s="49" t="s">
        <v>170</v>
      </c>
      <c r="E191" s="11">
        <v>0</v>
      </c>
      <c r="F191" s="49" t="s">
        <v>170</v>
      </c>
      <c r="G191" s="11">
        <v>0</v>
      </c>
      <c r="H191" s="11">
        <v>547.14285714285711</v>
      </c>
      <c r="I191" s="11">
        <v>319.16666666666669</v>
      </c>
      <c r="J191" s="55" t="s">
        <v>170</v>
      </c>
      <c r="K191" s="14" t="s">
        <v>170</v>
      </c>
      <c r="L191" s="14" t="s">
        <v>170</v>
      </c>
    </row>
    <row r="192" spans="2:12" x14ac:dyDescent="0.3">
      <c r="B192" s="10" t="s">
        <v>146</v>
      </c>
      <c r="C192" s="11">
        <v>0</v>
      </c>
      <c r="D192" s="49" t="s">
        <v>170</v>
      </c>
      <c r="E192" s="11">
        <v>0</v>
      </c>
      <c r="F192" s="49" t="s">
        <v>170</v>
      </c>
      <c r="G192" s="11">
        <v>0</v>
      </c>
      <c r="H192" s="11">
        <v>374.0814285714286</v>
      </c>
      <c r="I192" s="11">
        <v>218.21416666666667</v>
      </c>
      <c r="J192" s="55">
        <f t="shared" si="21"/>
        <v>0.14566347281149633</v>
      </c>
      <c r="K192" s="53">
        <v>250</v>
      </c>
      <c r="L192" s="14">
        <f t="shared" si="22"/>
        <v>3000</v>
      </c>
    </row>
    <row r="193" spans="2:12" ht="15.75" thickBot="1" x14ac:dyDescent="0.35">
      <c r="B193" s="10" t="s">
        <v>147</v>
      </c>
      <c r="C193" s="11">
        <v>150</v>
      </c>
      <c r="D193" s="49">
        <f t="shared" si="19"/>
        <v>3.1244666666666663</v>
      </c>
      <c r="E193" s="11">
        <v>618.66999999999996</v>
      </c>
      <c r="F193" s="49" t="s">
        <v>170</v>
      </c>
      <c r="G193" s="11">
        <v>0</v>
      </c>
      <c r="H193" s="11">
        <v>0</v>
      </c>
      <c r="I193" s="11">
        <v>0</v>
      </c>
      <c r="J193" s="55" t="s">
        <v>170</v>
      </c>
      <c r="K193" s="53">
        <v>375</v>
      </c>
      <c r="L193" s="14">
        <f t="shared" si="22"/>
        <v>4500</v>
      </c>
    </row>
    <row r="194" spans="2:12" ht="18" customHeight="1" thickBot="1" x14ac:dyDescent="0.35">
      <c r="B194" s="58" t="s">
        <v>181</v>
      </c>
      <c r="C194" s="59">
        <f>SUM(C179:C193)</f>
        <v>2652.6899999999996</v>
      </c>
      <c r="D194" s="60">
        <f t="shared" si="19"/>
        <v>0.16366782398244831</v>
      </c>
      <c r="E194" s="59">
        <f>SUM(E179:E193)</f>
        <v>3086.8500000000004</v>
      </c>
      <c r="F194" s="60">
        <f t="shared" si="20"/>
        <v>3.0630775169941309</v>
      </c>
      <c r="G194" s="59">
        <f>SUM(G179:G193)</f>
        <v>7480.5259999999998</v>
      </c>
      <c r="H194" s="59">
        <f>SUM(H179:H193)</f>
        <v>16157.528571428569</v>
      </c>
      <c r="I194" s="59">
        <f>SUM(I179:I193)</f>
        <v>12542.110833333334</v>
      </c>
      <c r="J194" s="63">
        <f>(K194-I194)/I194</f>
        <v>-0.84930766239308597</v>
      </c>
      <c r="K194" s="59">
        <f>SUM(K179:K193)</f>
        <v>1890</v>
      </c>
      <c r="L194" s="62">
        <f>K194*12</f>
        <v>22680</v>
      </c>
    </row>
    <row r="195" spans="2:12" ht="17.25" thickBot="1" x14ac:dyDescent="0.35">
      <c r="B195" s="58" t="s">
        <v>149</v>
      </c>
      <c r="C195" s="59">
        <f>SUM(C194,C176,C111,C60,C47,C22,C13)</f>
        <v>361157.42</v>
      </c>
      <c r="D195" s="60">
        <f t="shared" si="19"/>
        <v>0.11962963408034094</v>
      </c>
      <c r="E195" s="59">
        <f>SUM(E194,E176,E111,E60,E47,E22,E13)</f>
        <v>404362.55</v>
      </c>
      <c r="F195" s="60">
        <f t="shared" si="20"/>
        <v>0.17900239525148917</v>
      </c>
      <c r="G195" s="59">
        <f>SUM(G194,G176,G111,G60,G47,G22,G13)</f>
        <v>416745.44400000002</v>
      </c>
      <c r="H195" s="59">
        <f>SUM(H194,H176,H111,H60,H47,H22,H13)</f>
        <v>518861.2728571429</v>
      </c>
      <c r="I195" s="59">
        <f>SUM(I194,I176,I111,I60,I47,I22,I13)</f>
        <v>476744.41500000004</v>
      </c>
      <c r="J195" s="63"/>
      <c r="K195" s="59">
        <f>SUM(K194,K176,K111,K60,K47,K22,K13)</f>
        <v>485590.97180500004</v>
      </c>
      <c r="L195" s="62">
        <f>K195*12</f>
        <v>5827091.6616600007</v>
      </c>
    </row>
    <row r="197" spans="2:12" ht="15.75" thickBot="1" x14ac:dyDescent="0.35"/>
    <row r="198" spans="2:12" ht="17.25" thickBot="1" x14ac:dyDescent="0.35">
      <c r="B198" s="28" t="s">
        <v>150</v>
      </c>
      <c r="C198" s="19"/>
      <c r="D198" s="2"/>
      <c r="E198" s="3"/>
      <c r="F198" s="3"/>
      <c r="G198" s="3"/>
      <c r="H198" s="65"/>
    </row>
    <row r="199" spans="2:12" ht="16.5" x14ac:dyDescent="0.3">
      <c r="B199" s="29" t="s">
        <v>151</v>
      </c>
      <c r="C199" s="15">
        <f>K195</f>
        <v>485590.97180500004</v>
      </c>
      <c r="D199" s="2"/>
      <c r="F199" s="3"/>
      <c r="G199" s="3"/>
      <c r="H199" s="66"/>
    </row>
    <row r="200" spans="2:12" ht="17.25" thickBot="1" x14ac:dyDescent="0.35">
      <c r="B200" s="24" t="s">
        <v>152</v>
      </c>
      <c r="C200" s="17">
        <f>C199*1.88%</f>
        <v>9129.110269933999</v>
      </c>
      <c r="D200" s="2"/>
      <c r="H200" s="66"/>
    </row>
    <row r="201" spans="2:12" ht="17.25" thickTop="1" x14ac:dyDescent="0.3">
      <c r="B201" s="30" t="s">
        <v>153</v>
      </c>
      <c r="C201" s="16">
        <f>C200+C199</f>
        <v>494720.08207493403</v>
      </c>
      <c r="D201" s="2"/>
      <c r="H201" s="66"/>
    </row>
    <row r="202" spans="2:12" ht="17.25" thickBot="1" x14ac:dyDescent="0.35">
      <c r="B202" s="24" t="s">
        <v>154</v>
      </c>
      <c r="C202" s="17">
        <f>(C201*10)/90</f>
        <v>54968.898008326003</v>
      </c>
      <c r="D202" s="2"/>
      <c r="H202" s="66"/>
    </row>
    <row r="203" spans="2:12" ht="18" thickTop="1" thickBot="1" x14ac:dyDescent="0.35">
      <c r="B203" s="31" t="s">
        <v>153</v>
      </c>
      <c r="C203" s="18">
        <f>C202+C201</f>
        <v>549688.98008325999</v>
      </c>
      <c r="D203" s="2"/>
    </row>
    <row r="204" spans="2:12" ht="17.25" thickBot="1" x14ac:dyDescent="0.35">
      <c r="B204" s="4"/>
      <c r="C204" s="5"/>
      <c r="D204" s="2"/>
      <c r="E204" s="3"/>
      <c r="F204" s="3"/>
      <c r="G204" s="3"/>
      <c r="H204" s="65"/>
    </row>
    <row r="205" spans="2:12" ht="17.25" thickBot="1" x14ac:dyDescent="0.35">
      <c r="B205" s="32" t="s">
        <v>156</v>
      </c>
      <c r="C205" s="20">
        <f>C201</f>
        <v>494720.08207493403</v>
      </c>
      <c r="D205" s="2"/>
      <c r="E205" s="3"/>
      <c r="F205" s="3"/>
      <c r="G205" s="3"/>
      <c r="H205" s="66"/>
    </row>
    <row r="206" spans="2:12" ht="18" thickTop="1" thickBot="1" x14ac:dyDescent="0.35">
      <c r="B206" s="31" t="s">
        <v>155</v>
      </c>
      <c r="C206" s="21">
        <f>C203</f>
        <v>549688.98008325999</v>
      </c>
      <c r="D206" s="2"/>
      <c r="H206" s="66"/>
    </row>
    <row r="207" spans="2:12" ht="17.25" thickBot="1" x14ac:dyDescent="0.35">
      <c r="B207" s="1"/>
      <c r="C207" s="6"/>
      <c r="D207" s="2"/>
      <c r="H207" s="66"/>
    </row>
    <row r="208" spans="2:12" ht="23.45" customHeight="1" x14ac:dyDescent="0.3">
      <c r="B208" s="67" t="s">
        <v>174</v>
      </c>
      <c r="C208" s="68">
        <f>(587.31*807)-1.88%</f>
        <v>473959.15119999996</v>
      </c>
      <c r="D208" s="2"/>
      <c r="E208" s="105"/>
    </row>
    <row r="209" spans="2:7" ht="17.25" thickBot="1" x14ac:dyDescent="0.35">
      <c r="B209" s="24" t="s">
        <v>175</v>
      </c>
      <c r="C209" s="17">
        <f>C206</f>
        <v>549688.98008325999</v>
      </c>
      <c r="D209" s="2"/>
      <c r="E209" s="23"/>
    </row>
    <row r="210" spans="2:7" ht="18" thickTop="1" thickBot="1" x14ac:dyDescent="0.35">
      <c r="B210" s="25" t="s">
        <v>157</v>
      </c>
      <c r="C210" s="22">
        <f>(C209-C208)/C208</f>
        <v>0.15978134126437357</v>
      </c>
      <c r="D210" s="2"/>
    </row>
    <row r="211" spans="2:7" ht="16.5" x14ac:dyDescent="0.3">
      <c r="B211" s="1"/>
      <c r="C211" s="7"/>
      <c r="D211" s="2"/>
      <c r="E211" s="7"/>
      <c r="F211" s="7"/>
      <c r="G211" s="7"/>
    </row>
  </sheetData>
  <mergeCells count="63">
    <mergeCell ref="J6:J7"/>
    <mergeCell ref="K6:K7"/>
    <mergeCell ref="L6:L7"/>
    <mergeCell ref="B14:B15"/>
    <mergeCell ref="C14:C15"/>
    <mergeCell ref="D14:D15"/>
    <mergeCell ref="E14:E15"/>
    <mergeCell ref="F14:F15"/>
    <mergeCell ref="G14:I14"/>
    <mergeCell ref="J14:J15"/>
    <mergeCell ref="B6:B7"/>
    <mergeCell ref="C6:C7"/>
    <mergeCell ref="D6:D7"/>
    <mergeCell ref="E6:E7"/>
    <mergeCell ref="F6:F7"/>
    <mergeCell ref="G6:I6"/>
    <mergeCell ref="K14:K15"/>
    <mergeCell ref="L14:L15"/>
    <mergeCell ref="B23:B24"/>
    <mergeCell ref="C23:C24"/>
    <mergeCell ref="D23:D24"/>
    <mergeCell ref="E23:E24"/>
    <mergeCell ref="F23:F24"/>
    <mergeCell ref="G23:I23"/>
    <mergeCell ref="J23:J24"/>
    <mergeCell ref="K23:K24"/>
    <mergeCell ref="L23:L24"/>
    <mergeCell ref="B48:B49"/>
    <mergeCell ref="C48:C49"/>
    <mergeCell ref="D48:D49"/>
    <mergeCell ref="E48:E49"/>
    <mergeCell ref="F48:F49"/>
    <mergeCell ref="G48:I48"/>
    <mergeCell ref="J48:J49"/>
    <mergeCell ref="K48:K49"/>
    <mergeCell ref="L48:L49"/>
    <mergeCell ref="J61:J62"/>
    <mergeCell ref="K61:K62"/>
    <mergeCell ref="L61:L62"/>
    <mergeCell ref="B112:B113"/>
    <mergeCell ref="C112:C113"/>
    <mergeCell ref="D112:D113"/>
    <mergeCell ref="E112:E113"/>
    <mergeCell ref="F112:F113"/>
    <mergeCell ref="G112:I112"/>
    <mergeCell ref="J112:J113"/>
    <mergeCell ref="B61:B62"/>
    <mergeCell ref="C61:C62"/>
    <mergeCell ref="D61:D62"/>
    <mergeCell ref="E61:E62"/>
    <mergeCell ref="F61:F62"/>
    <mergeCell ref="G61:I61"/>
    <mergeCell ref="L177:L178"/>
    <mergeCell ref="K112:K113"/>
    <mergeCell ref="L112:L113"/>
    <mergeCell ref="B177:B178"/>
    <mergeCell ref="C177:C178"/>
    <mergeCell ref="D177:D178"/>
    <mergeCell ref="E177:E178"/>
    <mergeCell ref="F177:F178"/>
    <mergeCell ref="G177:I177"/>
    <mergeCell ref="J177:J178"/>
    <mergeCell ref="K177:K178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152E2-6954-43E8-A5A3-7A3D6DE2C6F4}">
  <sheetPr codeName="Planilha3"/>
  <dimension ref="A3:M217"/>
  <sheetViews>
    <sheetView showGridLines="0" topLeftCell="A205" zoomScale="85" zoomScaleNormal="85" workbookViewId="0">
      <selection activeCell="G224" sqref="G224"/>
    </sheetView>
  </sheetViews>
  <sheetFormatPr defaultRowHeight="15" x14ac:dyDescent="0.3"/>
  <cols>
    <col min="1" max="1" width="4.28515625" customWidth="1"/>
    <col min="2" max="2" width="47.42578125" customWidth="1"/>
    <col min="3" max="3" width="14.85546875" bestFit="1" customWidth="1"/>
    <col min="4" max="4" width="19.7109375" bestFit="1" customWidth="1"/>
    <col min="5" max="7" width="14.85546875" bestFit="1" customWidth="1"/>
    <col min="8" max="8" width="15" customWidth="1"/>
    <col min="9" max="10" width="13.85546875" customWidth="1"/>
    <col min="11" max="11" width="14.85546875" style="52" customWidth="1"/>
    <col min="12" max="12" width="15.7109375" customWidth="1"/>
    <col min="13" max="13" width="12.28515625" bestFit="1" customWidth="1"/>
    <col min="14" max="14" width="11.42578125" customWidth="1"/>
  </cols>
  <sheetData>
    <row r="3" spans="2:13" x14ac:dyDescent="0.3">
      <c r="K3" s="102"/>
      <c r="L3" s="84"/>
    </row>
    <row r="4" spans="2:13" x14ac:dyDescent="0.3">
      <c r="K4" s="102"/>
      <c r="L4" s="84"/>
      <c r="M4" s="104"/>
    </row>
    <row r="5" spans="2:13" ht="15.75" thickBot="1" x14ac:dyDescent="0.35"/>
    <row r="6" spans="2:13" ht="15.6" customHeight="1" thickBot="1" x14ac:dyDescent="0.35">
      <c r="B6" s="157" t="s">
        <v>0</v>
      </c>
      <c r="C6" s="146">
        <v>2023</v>
      </c>
      <c r="D6" s="148" t="s">
        <v>186</v>
      </c>
      <c r="E6" s="150">
        <v>2024</v>
      </c>
      <c r="F6" s="148" t="s">
        <v>185</v>
      </c>
      <c r="G6" s="152">
        <v>2025</v>
      </c>
      <c r="H6" s="153"/>
      <c r="I6" s="154"/>
      <c r="J6" s="155" t="s">
        <v>184</v>
      </c>
      <c r="K6" s="142" t="s">
        <v>1</v>
      </c>
      <c r="L6" s="140" t="s">
        <v>2</v>
      </c>
    </row>
    <row r="7" spans="2:13" ht="45" x14ac:dyDescent="0.3">
      <c r="B7" s="145"/>
      <c r="C7" s="147"/>
      <c r="D7" s="149" t="s">
        <v>183</v>
      </c>
      <c r="E7" s="151"/>
      <c r="F7" s="149" t="s">
        <v>183</v>
      </c>
      <c r="G7" s="43" t="s">
        <v>3</v>
      </c>
      <c r="H7" s="43" t="s">
        <v>171</v>
      </c>
      <c r="I7" s="43" t="s">
        <v>4</v>
      </c>
      <c r="J7" s="156"/>
      <c r="K7" s="143"/>
      <c r="L7" s="141"/>
    </row>
    <row r="8" spans="2:13" x14ac:dyDescent="0.3">
      <c r="B8" s="47" t="s">
        <v>5</v>
      </c>
      <c r="C8" s="48">
        <v>2969.75</v>
      </c>
      <c r="D8" s="49">
        <f>(E8-C8)/C8</f>
        <v>-6.8298678339927574E-2</v>
      </c>
      <c r="E8" s="48">
        <v>2766.92</v>
      </c>
      <c r="F8" s="49">
        <f>(I8-E8)/E8</f>
        <v>0.10125458391761721</v>
      </c>
      <c r="G8" s="48">
        <v>2946.1</v>
      </c>
      <c r="H8" s="48">
        <v>3119.2142857142858</v>
      </c>
      <c r="I8" s="48">
        <v>3047.0833333333335</v>
      </c>
      <c r="J8" s="55">
        <v>0</v>
      </c>
      <c r="K8" s="53">
        <v>3047.0833333333335</v>
      </c>
      <c r="L8" s="57">
        <f>K8*12</f>
        <v>36565</v>
      </c>
    </row>
    <row r="9" spans="2:13" x14ac:dyDescent="0.3">
      <c r="B9" s="47" t="s">
        <v>6</v>
      </c>
      <c r="C9" s="48">
        <v>33.85</v>
      </c>
      <c r="D9" s="49">
        <f>(E9-C9)/C9</f>
        <v>-5.3766617429837522E-2</v>
      </c>
      <c r="E9" s="48">
        <v>32.03</v>
      </c>
      <c r="F9" s="49">
        <f>(I9-E9)/E9</f>
        <v>-3.9208034134665587E-2</v>
      </c>
      <c r="G9" s="48">
        <v>31.1</v>
      </c>
      <c r="H9" s="48">
        <v>30.53857142857143</v>
      </c>
      <c r="I9" s="48">
        <v>30.774166666666662</v>
      </c>
      <c r="J9" s="55">
        <v>0</v>
      </c>
      <c r="K9" s="53">
        <v>30.774166666666662</v>
      </c>
      <c r="L9" s="57">
        <f>K9*12</f>
        <v>369.28999999999996</v>
      </c>
    </row>
    <row r="10" spans="2:13" x14ac:dyDescent="0.3">
      <c r="B10" s="47" t="s">
        <v>199</v>
      </c>
      <c r="C10" s="48">
        <v>1.39</v>
      </c>
      <c r="D10" s="49" t="s">
        <v>170</v>
      </c>
      <c r="E10" s="48">
        <v>0</v>
      </c>
      <c r="F10" s="49" t="s">
        <v>170</v>
      </c>
      <c r="G10" s="48">
        <v>0</v>
      </c>
      <c r="H10" s="48">
        <v>0</v>
      </c>
      <c r="I10" s="48">
        <v>0</v>
      </c>
      <c r="J10" s="56" t="s">
        <v>170</v>
      </c>
      <c r="K10" s="53" t="s">
        <v>170</v>
      </c>
      <c r="L10" s="57" t="s">
        <v>170</v>
      </c>
    </row>
    <row r="11" spans="2:13" x14ac:dyDescent="0.3">
      <c r="B11" s="47" t="s">
        <v>200</v>
      </c>
      <c r="C11" s="48">
        <v>233.68</v>
      </c>
      <c r="D11" s="49">
        <f>(E11-C11)/C11</f>
        <v>8.1521739130434701E-2</v>
      </c>
      <c r="E11" s="48">
        <v>252.73</v>
      </c>
      <c r="F11" s="49">
        <f>(I11-E11)/E11</f>
        <v>-0.45567733681531014</v>
      </c>
      <c r="G11" s="48">
        <v>193.61</v>
      </c>
      <c r="H11" s="48">
        <v>97.53714285714284</v>
      </c>
      <c r="I11" s="48">
        <v>137.56666666666666</v>
      </c>
      <c r="J11" s="55">
        <f>(K11-I11)/I11</f>
        <v>-0.29096195783862361</v>
      </c>
      <c r="K11" s="53">
        <v>97.54</v>
      </c>
      <c r="L11" s="57">
        <f>K11*12</f>
        <v>1170.48</v>
      </c>
    </row>
    <row r="12" spans="2:13" ht="15.75" thickBot="1" x14ac:dyDescent="0.35">
      <c r="B12" s="50" t="s">
        <v>201</v>
      </c>
      <c r="C12" s="51">
        <v>91</v>
      </c>
      <c r="D12" s="49" t="s">
        <v>170</v>
      </c>
      <c r="E12" s="51">
        <v>0</v>
      </c>
      <c r="F12" s="49" t="s">
        <v>170</v>
      </c>
      <c r="G12" s="51">
        <v>0</v>
      </c>
      <c r="H12" s="51">
        <v>0</v>
      </c>
      <c r="I12" s="51">
        <v>0</v>
      </c>
      <c r="J12" s="56" t="s">
        <v>170</v>
      </c>
      <c r="K12" s="53" t="s">
        <v>170</v>
      </c>
      <c r="L12" s="57" t="s">
        <v>170</v>
      </c>
    </row>
    <row r="13" spans="2:13" ht="17.25" thickBot="1" x14ac:dyDescent="0.35">
      <c r="B13" s="58" t="s">
        <v>197</v>
      </c>
      <c r="C13" s="59">
        <f>SUM(C8:C12)</f>
        <v>3329.6699999999996</v>
      </c>
      <c r="D13" s="60">
        <f>(E13-C13)/C13</f>
        <v>-8.348875414080055E-2</v>
      </c>
      <c r="E13" s="59">
        <f>SUM(E8:E12)</f>
        <v>3051.6800000000003</v>
      </c>
      <c r="F13" s="60">
        <f>(I13-E13)/E13</f>
        <v>5.3657056659501115E-2</v>
      </c>
      <c r="G13" s="59">
        <f>SUM(G8:G12)</f>
        <v>3170.81</v>
      </c>
      <c r="H13" s="59">
        <f>SUM(H8:H12)</f>
        <v>3247.29</v>
      </c>
      <c r="I13" s="59">
        <f>SUM(I8:I12)</f>
        <v>3215.4241666666667</v>
      </c>
      <c r="J13" s="63">
        <f>(K13-I13)/I13</f>
        <v>-1.2448331726063092E-2</v>
      </c>
      <c r="K13" s="61">
        <f>SUM(K8:K12)</f>
        <v>3175.3975</v>
      </c>
      <c r="L13" s="62">
        <f>K13*12</f>
        <v>38104.770000000004</v>
      </c>
    </row>
    <row r="14" spans="2:13" ht="15.6" customHeight="1" thickBot="1" x14ac:dyDescent="0.35">
      <c r="B14" s="144" t="s">
        <v>7</v>
      </c>
      <c r="C14" s="146">
        <v>2023</v>
      </c>
      <c r="D14" s="148" t="s">
        <v>186</v>
      </c>
      <c r="E14" s="150">
        <v>2024</v>
      </c>
      <c r="F14" s="148" t="s">
        <v>185</v>
      </c>
      <c r="G14" s="152">
        <v>2025</v>
      </c>
      <c r="H14" s="153"/>
      <c r="I14" s="154"/>
      <c r="J14" s="155" t="s">
        <v>184</v>
      </c>
      <c r="K14" s="142" t="s">
        <v>1</v>
      </c>
      <c r="L14" s="140" t="s">
        <v>2</v>
      </c>
    </row>
    <row r="15" spans="2:13" ht="45" x14ac:dyDescent="0.3">
      <c r="B15" s="145"/>
      <c r="C15" s="147"/>
      <c r="D15" s="149" t="s">
        <v>183</v>
      </c>
      <c r="E15" s="151"/>
      <c r="F15" s="149" t="s">
        <v>183</v>
      </c>
      <c r="G15" s="43" t="s">
        <v>3</v>
      </c>
      <c r="H15" s="43" t="s">
        <v>171</v>
      </c>
      <c r="I15" s="43" t="s">
        <v>4</v>
      </c>
      <c r="J15" s="156"/>
      <c r="K15" s="143"/>
      <c r="L15" s="141"/>
    </row>
    <row r="16" spans="2:13" x14ac:dyDescent="0.3">
      <c r="B16" s="47" t="s">
        <v>8</v>
      </c>
      <c r="C16" s="48">
        <v>854.14</v>
      </c>
      <c r="D16" s="49">
        <f>(E16-C16)/C16</f>
        <v>0.789882220713232</v>
      </c>
      <c r="E16" s="48">
        <v>1528.81</v>
      </c>
      <c r="F16" s="49">
        <f t="shared" ref="F16:F22" si="0">(I16-E16)/E16</f>
        <v>-6.3006521412078714E-2</v>
      </c>
      <c r="G16" s="48">
        <v>940.09</v>
      </c>
      <c r="H16" s="48">
        <v>1784.1928571428573</v>
      </c>
      <c r="I16" s="48">
        <v>1432.4849999999999</v>
      </c>
      <c r="J16" s="55">
        <f t="shared" ref="J16:J22" si="1">(K16-I16)/I16</f>
        <v>8.9999999999999969E-2</v>
      </c>
      <c r="K16" s="53">
        <v>1561.4086499999999</v>
      </c>
      <c r="L16" s="14">
        <f t="shared" ref="L16:L22" si="2">K16*12</f>
        <v>18736.9038</v>
      </c>
    </row>
    <row r="17" spans="2:13" x14ac:dyDescent="0.3">
      <c r="B17" s="47" t="s">
        <v>9</v>
      </c>
      <c r="C17" s="48">
        <v>4736.03</v>
      </c>
      <c r="D17" s="49">
        <f t="shared" ref="D17:D22" si="3">(E17-C17)/C17</f>
        <v>0.15014051853556684</v>
      </c>
      <c r="E17" s="48">
        <v>5447.1</v>
      </c>
      <c r="F17" s="49">
        <f t="shared" si="0"/>
        <v>9.345951668471986E-3</v>
      </c>
      <c r="G17" s="48">
        <v>5039.3100000000004</v>
      </c>
      <c r="H17" s="48">
        <v>5825.6500000000005</v>
      </c>
      <c r="I17" s="48">
        <v>5498.0083333333341</v>
      </c>
      <c r="J17" s="55">
        <f t="shared" si="1"/>
        <v>4.999999999999994E-2</v>
      </c>
      <c r="K17" s="53">
        <v>5772.9087500000005</v>
      </c>
      <c r="L17" s="14">
        <f t="shared" si="2"/>
        <v>69274.904999999999</v>
      </c>
    </row>
    <row r="18" spans="2:13" x14ac:dyDescent="0.3">
      <c r="B18" s="47" t="s">
        <v>202</v>
      </c>
      <c r="C18" s="48">
        <v>1075.0999999999999</v>
      </c>
      <c r="D18" s="49">
        <f t="shared" si="3"/>
        <v>-3.3866617058878112E-2</v>
      </c>
      <c r="E18" s="48">
        <v>1038.69</v>
      </c>
      <c r="F18" s="49">
        <f t="shared" si="0"/>
        <v>-0.1267598288870278</v>
      </c>
      <c r="G18" s="48">
        <v>960.25</v>
      </c>
      <c r="H18" s="48">
        <v>869.0100000000001</v>
      </c>
      <c r="I18" s="48">
        <v>907.02583333333314</v>
      </c>
      <c r="J18" s="55">
        <f t="shared" si="1"/>
        <v>3.9999999999999987E-2</v>
      </c>
      <c r="K18" s="53">
        <v>943.30686666666645</v>
      </c>
      <c r="L18" s="14">
        <f t="shared" si="2"/>
        <v>11319.682399999998</v>
      </c>
    </row>
    <row r="19" spans="2:13" x14ac:dyDescent="0.3">
      <c r="B19" s="47" t="s">
        <v>203</v>
      </c>
      <c r="C19" s="48">
        <v>0</v>
      </c>
      <c r="D19" s="49" t="s">
        <v>170</v>
      </c>
      <c r="E19" s="48">
        <v>81.760000000000005</v>
      </c>
      <c r="F19" s="49">
        <f t="shared" si="0"/>
        <v>1.1206376386170909</v>
      </c>
      <c r="G19" s="48">
        <v>94.32</v>
      </c>
      <c r="H19" s="48">
        <v>229.85714285714289</v>
      </c>
      <c r="I19" s="48">
        <v>173.38333333333335</v>
      </c>
      <c r="J19" s="55">
        <f t="shared" si="1"/>
        <v>4.000000000000007E-2</v>
      </c>
      <c r="K19" s="53">
        <v>180.3186666666667</v>
      </c>
      <c r="L19" s="14">
        <f t="shared" si="2"/>
        <v>2163.8240000000005</v>
      </c>
    </row>
    <row r="20" spans="2:13" x14ac:dyDescent="0.3">
      <c r="B20" s="47" t="s">
        <v>204</v>
      </c>
      <c r="C20" s="48">
        <v>59.17</v>
      </c>
      <c r="D20" s="49">
        <f t="shared" si="3"/>
        <v>-0.35220550954875784</v>
      </c>
      <c r="E20" s="48">
        <v>38.33</v>
      </c>
      <c r="F20" s="49">
        <f t="shared" si="0"/>
        <v>0.29359074702148025</v>
      </c>
      <c r="G20" s="48">
        <v>70</v>
      </c>
      <c r="H20" s="48">
        <v>35</v>
      </c>
      <c r="I20" s="48">
        <v>49.583333333333336</v>
      </c>
      <c r="J20" s="55">
        <f t="shared" si="1"/>
        <v>4.0000000000000015E-2</v>
      </c>
      <c r="K20" s="53">
        <v>51.56666666666667</v>
      </c>
      <c r="L20" s="14">
        <f t="shared" si="2"/>
        <v>618.80000000000007</v>
      </c>
    </row>
    <row r="21" spans="2:13" ht="15.75" thickBot="1" x14ac:dyDescent="0.35">
      <c r="B21" s="47" t="s">
        <v>205</v>
      </c>
      <c r="C21" s="48">
        <v>27127.62</v>
      </c>
      <c r="D21" s="49">
        <f t="shared" si="3"/>
        <v>7.6575460729691777E-2</v>
      </c>
      <c r="E21" s="48">
        <v>29204.93</v>
      </c>
      <c r="F21" s="49">
        <f t="shared" si="0"/>
        <v>-7.4787572965705748E-2</v>
      </c>
      <c r="G21" s="48">
        <v>27828.59</v>
      </c>
      <c r="H21" s="48">
        <v>26443.747142857144</v>
      </c>
      <c r="I21" s="48">
        <v>27020.764166666671</v>
      </c>
      <c r="J21" s="55">
        <f t="shared" si="1"/>
        <v>0.15950236665216422</v>
      </c>
      <c r="K21" s="54">
        <v>31330.639999999999</v>
      </c>
      <c r="L21" s="14">
        <f t="shared" si="2"/>
        <v>375967.68</v>
      </c>
    </row>
    <row r="22" spans="2:13" ht="17.25" thickBot="1" x14ac:dyDescent="0.35">
      <c r="B22" s="58" t="s">
        <v>176</v>
      </c>
      <c r="C22" s="59">
        <f>SUM(C16:C21)</f>
        <v>33852.06</v>
      </c>
      <c r="D22" s="60">
        <f t="shared" si="3"/>
        <v>0.10302356784195718</v>
      </c>
      <c r="E22" s="59">
        <f>SUM(E16:E21)</f>
        <v>37339.620000000003</v>
      </c>
      <c r="F22" s="60">
        <f t="shared" si="0"/>
        <v>-6.0481868856726316E-2</v>
      </c>
      <c r="G22" s="59">
        <f>SUM(G16:G21)</f>
        <v>34932.559999999998</v>
      </c>
      <c r="H22" s="59">
        <f>SUM(H16:H21)</f>
        <v>35187.457142857143</v>
      </c>
      <c r="I22" s="59">
        <f>SUM(I16:I21)</f>
        <v>35081.250000000007</v>
      </c>
      <c r="J22" s="63">
        <f t="shared" si="1"/>
        <v>0.1356536497416708</v>
      </c>
      <c r="K22" s="61">
        <f>SUM(K16:K21)</f>
        <v>39840.149599999997</v>
      </c>
      <c r="L22" s="62">
        <f t="shared" si="2"/>
        <v>478081.79519999993</v>
      </c>
    </row>
    <row r="23" spans="2:13" ht="15.6" customHeight="1" thickBot="1" x14ac:dyDescent="0.35">
      <c r="B23" s="144" t="s">
        <v>10</v>
      </c>
      <c r="C23" s="146">
        <v>2023</v>
      </c>
      <c r="D23" s="148" t="s">
        <v>186</v>
      </c>
      <c r="E23" s="150">
        <v>2024</v>
      </c>
      <c r="F23" s="148" t="s">
        <v>185</v>
      </c>
      <c r="G23" s="152">
        <v>2025</v>
      </c>
      <c r="H23" s="153"/>
      <c r="I23" s="154"/>
      <c r="J23" s="155" t="s">
        <v>184</v>
      </c>
      <c r="K23" s="142" t="s">
        <v>1</v>
      </c>
      <c r="L23" s="140" t="s">
        <v>2</v>
      </c>
    </row>
    <row r="24" spans="2:13" ht="45" x14ac:dyDescent="0.3">
      <c r="B24" s="145"/>
      <c r="C24" s="147"/>
      <c r="D24" s="149" t="s">
        <v>183</v>
      </c>
      <c r="E24" s="151"/>
      <c r="F24" s="149" t="s">
        <v>183</v>
      </c>
      <c r="G24" s="43" t="s">
        <v>3</v>
      </c>
      <c r="H24" s="43" t="s">
        <v>171</v>
      </c>
      <c r="I24" s="43" t="s">
        <v>4</v>
      </c>
      <c r="J24" s="156"/>
      <c r="K24" s="143"/>
      <c r="L24" s="141"/>
    </row>
    <row r="25" spans="2:13" x14ac:dyDescent="0.3">
      <c r="B25" s="64" t="s">
        <v>11</v>
      </c>
      <c r="C25" s="48">
        <v>88811.32</v>
      </c>
      <c r="D25" s="49">
        <f>(E25-C25)/C25</f>
        <v>0.10785640839478565</v>
      </c>
      <c r="E25" s="48">
        <v>98390.19</v>
      </c>
      <c r="F25" s="49">
        <f>(I25-E25)/E25</f>
        <v>5.8796817040398019E-2</v>
      </c>
      <c r="G25" s="48">
        <v>106381.34</v>
      </c>
      <c r="H25" s="48">
        <v>101969.1</v>
      </c>
      <c r="I25" s="48">
        <v>104175.22</v>
      </c>
      <c r="J25" s="55">
        <f t="shared" ref="J25:J46" si="4">(K25-I25)/I25</f>
        <v>0.23862824095787846</v>
      </c>
      <c r="K25" s="53">
        <v>129034.3695</v>
      </c>
      <c r="L25" s="14">
        <f t="shared" ref="L25:L44" si="5">K25*12</f>
        <v>1548412.4339999999</v>
      </c>
      <c r="M25" s="103"/>
    </row>
    <row r="26" spans="2:13" x14ac:dyDescent="0.3">
      <c r="B26" s="64" t="s">
        <v>12</v>
      </c>
      <c r="C26" s="48">
        <v>266.47000000000003</v>
      </c>
      <c r="D26" s="49">
        <f t="shared" ref="D26:D45" si="6">(E26-C26)/C26</f>
        <v>-0.87961121326978653</v>
      </c>
      <c r="E26" s="48">
        <v>32.08</v>
      </c>
      <c r="F26" s="49">
        <f t="shared" ref="F26:F46" si="7">(I26-E26)/E26</f>
        <v>5.7911471321695771</v>
      </c>
      <c r="G26" s="48">
        <v>300</v>
      </c>
      <c r="H26" s="48">
        <v>135.71428571428572</v>
      </c>
      <c r="I26" s="48">
        <v>217.86</v>
      </c>
      <c r="J26" s="55">
        <f t="shared" si="4"/>
        <v>7.4999999999999928E-2</v>
      </c>
      <c r="K26" s="53">
        <v>234.1995</v>
      </c>
      <c r="L26" s="14">
        <f t="shared" si="5"/>
        <v>2810.3940000000002</v>
      </c>
      <c r="M26" s="84"/>
    </row>
    <row r="27" spans="2:13" x14ac:dyDescent="0.3">
      <c r="B27" s="64" t="s">
        <v>13</v>
      </c>
      <c r="C27" s="48">
        <v>44264.03</v>
      </c>
      <c r="D27" s="49">
        <f t="shared" si="6"/>
        <v>-6.8323647891979089E-2</v>
      </c>
      <c r="E27" s="48">
        <v>41239.75</v>
      </c>
      <c r="F27" s="49">
        <f t="shared" si="7"/>
        <v>0.21436639811508712</v>
      </c>
      <c r="G27" s="48">
        <v>46690.9</v>
      </c>
      <c r="H27" s="48">
        <v>52501.071428571428</v>
      </c>
      <c r="I27" s="48">
        <v>50080.166666666664</v>
      </c>
      <c r="J27" s="55">
        <f t="shared" si="4"/>
        <v>3.9999999999999973E-2</v>
      </c>
      <c r="K27" s="53">
        <v>52083.373333333329</v>
      </c>
      <c r="L27" s="14">
        <f t="shared" si="5"/>
        <v>625000.48</v>
      </c>
      <c r="M27" s="84"/>
    </row>
    <row r="28" spans="2:13" x14ac:dyDescent="0.3">
      <c r="B28" s="64" t="s">
        <v>14</v>
      </c>
      <c r="C28" s="48">
        <v>12746.68</v>
      </c>
      <c r="D28" s="49">
        <f t="shared" si="6"/>
        <v>0.10372426388675321</v>
      </c>
      <c r="E28" s="48">
        <v>14068.82</v>
      </c>
      <c r="F28" s="49">
        <f t="shared" si="7"/>
        <v>6.2924609171202683E-2</v>
      </c>
      <c r="G28" s="48">
        <v>14877.72</v>
      </c>
      <c r="H28" s="48">
        <v>15008.64857142857</v>
      </c>
      <c r="I28" s="48">
        <v>14954.094999999999</v>
      </c>
      <c r="J28" s="55">
        <f t="shared" si="4"/>
        <v>0</v>
      </c>
      <c r="K28" s="53">
        <v>14954.094999999999</v>
      </c>
      <c r="L28" s="14">
        <f t="shared" si="5"/>
        <v>179449.13999999998</v>
      </c>
      <c r="M28" s="103"/>
    </row>
    <row r="29" spans="2:13" x14ac:dyDescent="0.3">
      <c r="B29" s="64" t="s">
        <v>15</v>
      </c>
      <c r="C29" s="48">
        <v>44469.64</v>
      </c>
      <c r="D29" s="49">
        <f t="shared" si="6"/>
        <v>3.5948121010199285E-2</v>
      </c>
      <c r="E29" s="48">
        <v>46068.24</v>
      </c>
      <c r="F29" s="49">
        <f t="shared" si="7"/>
        <v>5.0765234356684799E-2</v>
      </c>
      <c r="G29" s="48">
        <v>47951.91</v>
      </c>
      <c r="H29" s="48">
        <v>48731.902857142857</v>
      </c>
      <c r="I29" s="48">
        <v>48406.904999999999</v>
      </c>
      <c r="J29" s="55">
        <f t="shared" si="4"/>
        <v>7.4999999999999956E-2</v>
      </c>
      <c r="K29" s="53">
        <v>52037.422874999997</v>
      </c>
      <c r="L29" s="14">
        <f t="shared" si="5"/>
        <v>624449.07449999999</v>
      </c>
    </row>
    <row r="30" spans="2:13" x14ac:dyDescent="0.3">
      <c r="B30" s="64" t="s">
        <v>16</v>
      </c>
      <c r="C30" s="48">
        <v>0</v>
      </c>
      <c r="D30" s="49" t="s">
        <v>170</v>
      </c>
      <c r="E30" s="48">
        <v>3273.22</v>
      </c>
      <c r="F30" s="49">
        <f t="shared" si="7"/>
        <v>6.5024654621443148E-2</v>
      </c>
      <c r="G30" s="48">
        <v>0</v>
      </c>
      <c r="H30" s="48">
        <v>5976.11</v>
      </c>
      <c r="I30" s="48">
        <v>3486.06</v>
      </c>
      <c r="J30" s="55">
        <f t="shared" si="4"/>
        <v>7.4999999999999956E-2</v>
      </c>
      <c r="K30" s="53">
        <v>3747.5144999999998</v>
      </c>
      <c r="L30" s="14">
        <f t="shared" si="5"/>
        <v>44970.173999999999</v>
      </c>
    </row>
    <row r="31" spans="2:13" x14ac:dyDescent="0.3">
      <c r="B31" s="64" t="s">
        <v>17</v>
      </c>
      <c r="C31" s="48">
        <v>9541.52</v>
      </c>
      <c r="D31" s="49">
        <f t="shared" si="6"/>
        <v>9.8195046491544355E-2</v>
      </c>
      <c r="E31" s="48">
        <v>10478.450000000001</v>
      </c>
      <c r="F31" s="49">
        <f t="shared" si="7"/>
        <v>0.20012939254692569</v>
      </c>
      <c r="G31" s="48">
        <v>11282.49</v>
      </c>
      <c r="H31" s="48">
        <v>13499.070000000002</v>
      </c>
      <c r="I31" s="48">
        <v>12575.495833333334</v>
      </c>
      <c r="J31" s="55">
        <f t="shared" si="4"/>
        <v>7.4999999999999997E-2</v>
      </c>
      <c r="K31" s="53">
        <v>13518.658020833334</v>
      </c>
      <c r="L31" s="14">
        <f t="shared" si="5"/>
        <v>162223.89625000002</v>
      </c>
    </row>
    <row r="32" spans="2:13" x14ac:dyDescent="0.3">
      <c r="B32" s="64" t="s">
        <v>18</v>
      </c>
      <c r="C32" s="48">
        <v>917.56</v>
      </c>
      <c r="D32" s="49">
        <f t="shared" si="6"/>
        <v>-0.75355290117267537</v>
      </c>
      <c r="E32" s="48">
        <v>226.13</v>
      </c>
      <c r="F32" s="49">
        <f t="shared" si="7"/>
        <v>4.2523106177862289</v>
      </c>
      <c r="G32" s="48">
        <v>0</v>
      </c>
      <c r="H32" s="48">
        <v>2036.0657142857142</v>
      </c>
      <c r="I32" s="48">
        <v>1187.7049999999999</v>
      </c>
      <c r="J32" s="55">
        <f t="shared" si="4"/>
        <v>0</v>
      </c>
      <c r="K32" s="53">
        <v>1187.7049999999999</v>
      </c>
      <c r="L32" s="14">
        <f t="shared" si="5"/>
        <v>14252.46</v>
      </c>
    </row>
    <row r="33" spans="2:12" x14ac:dyDescent="0.3">
      <c r="B33" s="64" t="s">
        <v>19</v>
      </c>
      <c r="C33" s="48">
        <v>1104.3800000000001</v>
      </c>
      <c r="D33" s="49">
        <f t="shared" si="6"/>
        <v>-4.6315579782321377E-2</v>
      </c>
      <c r="E33" s="48">
        <v>1053.23</v>
      </c>
      <c r="F33" s="49">
        <f t="shared" si="7"/>
        <v>0.22957711041273027</v>
      </c>
      <c r="G33" s="48">
        <v>1294.3399999999999</v>
      </c>
      <c r="H33" s="48">
        <v>1295.5214285714285</v>
      </c>
      <c r="I33" s="48">
        <v>1295.0274999999999</v>
      </c>
      <c r="J33" s="55">
        <f t="shared" si="4"/>
        <v>7.4999999999999983E-2</v>
      </c>
      <c r="K33" s="53">
        <v>1392.1545624999999</v>
      </c>
      <c r="L33" s="14">
        <f t="shared" si="5"/>
        <v>16705.854749999999</v>
      </c>
    </row>
    <row r="34" spans="2:12" x14ac:dyDescent="0.3">
      <c r="B34" s="64" t="s">
        <v>20</v>
      </c>
      <c r="C34" s="48">
        <v>0</v>
      </c>
      <c r="D34" s="49" t="s">
        <v>170</v>
      </c>
      <c r="E34" s="48">
        <v>230.03</v>
      </c>
      <c r="F34" s="49">
        <f t="shared" si="7"/>
        <v>-1</v>
      </c>
      <c r="G34" s="48">
        <v>0</v>
      </c>
      <c r="H34" s="48">
        <v>0</v>
      </c>
      <c r="I34" s="48">
        <v>0</v>
      </c>
      <c r="J34" s="55" t="s">
        <v>170</v>
      </c>
      <c r="K34" s="53" t="s">
        <v>170</v>
      </c>
      <c r="L34" s="55" t="s">
        <v>170</v>
      </c>
    </row>
    <row r="35" spans="2:12" x14ac:dyDescent="0.3">
      <c r="B35" s="64" t="s">
        <v>21</v>
      </c>
      <c r="C35" s="48">
        <v>7733.34</v>
      </c>
      <c r="D35" s="49">
        <f t="shared" si="6"/>
        <v>0.14938952638833941</v>
      </c>
      <c r="E35" s="48">
        <v>8888.6200000000008</v>
      </c>
      <c r="F35" s="49">
        <f t="shared" si="7"/>
        <v>5.1622842840995699E-2</v>
      </c>
      <c r="G35" s="48">
        <v>0</v>
      </c>
      <c r="H35" s="48">
        <v>16024.244285714285</v>
      </c>
      <c r="I35" s="48">
        <v>9347.475833333332</v>
      </c>
      <c r="J35" s="55">
        <f t="shared" si="4"/>
        <v>7.4999999999999942E-2</v>
      </c>
      <c r="K35" s="53">
        <v>10048.536520833331</v>
      </c>
      <c r="L35" s="14">
        <f t="shared" si="5"/>
        <v>120582.43824999998</v>
      </c>
    </row>
    <row r="36" spans="2:12" x14ac:dyDescent="0.3">
      <c r="B36" s="64" t="s">
        <v>198</v>
      </c>
      <c r="C36" s="48">
        <v>12891.66</v>
      </c>
      <c r="D36" s="49">
        <f t="shared" si="6"/>
        <v>-1.3916749278215517E-2</v>
      </c>
      <c r="E36" s="48">
        <v>12712.25</v>
      </c>
      <c r="F36" s="49">
        <f t="shared" si="7"/>
        <v>-6.5433604069565811E-3</v>
      </c>
      <c r="G36" s="48">
        <v>14279.51</v>
      </c>
      <c r="H36" s="48">
        <v>11450.185714285715</v>
      </c>
      <c r="I36" s="48">
        <v>12629.069166666666</v>
      </c>
      <c r="J36" s="55">
        <f t="shared" si="4"/>
        <v>7.5000000000000011E-2</v>
      </c>
      <c r="K36" s="53">
        <v>13576.249354166666</v>
      </c>
      <c r="L36" s="14">
        <f t="shared" si="5"/>
        <v>162914.99225000001</v>
      </c>
    </row>
    <row r="37" spans="2:12" x14ac:dyDescent="0.3">
      <c r="B37" s="64" t="s">
        <v>212</v>
      </c>
      <c r="C37" s="48">
        <v>795.64</v>
      </c>
      <c r="D37" s="49">
        <f t="shared" si="6"/>
        <v>2.0127695942888746</v>
      </c>
      <c r="E37" s="48">
        <v>2397.08</v>
      </c>
      <c r="F37" s="49">
        <f t="shared" si="7"/>
        <v>-5.2540660581485252E-2</v>
      </c>
      <c r="G37" s="48">
        <v>731.2</v>
      </c>
      <c r="H37" s="48">
        <v>3371.09</v>
      </c>
      <c r="I37" s="48">
        <v>2271.1358333333333</v>
      </c>
      <c r="J37" s="55">
        <f t="shared" si="4"/>
        <v>4.2000000000000044E-2</v>
      </c>
      <c r="K37" s="53">
        <v>2366.5235383333334</v>
      </c>
      <c r="L37" s="14">
        <f t="shared" si="5"/>
        <v>28398.282460000002</v>
      </c>
    </row>
    <row r="38" spans="2:12" x14ac:dyDescent="0.3">
      <c r="B38" s="64" t="s">
        <v>213</v>
      </c>
      <c r="C38" s="48">
        <v>1667.51</v>
      </c>
      <c r="D38" s="49">
        <f t="shared" si="6"/>
        <v>-0.73699707947778426</v>
      </c>
      <c r="E38" s="48">
        <v>438.56</v>
      </c>
      <c r="F38" s="49">
        <f t="shared" si="7"/>
        <v>6.9747792016295751</v>
      </c>
      <c r="G38" s="48">
        <v>1525.1</v>
      </c>
      <c r="H38" s="48">
        <v>4906.2185714285715</v>
      </c>
      <c r="I38" s="48">
        <v>3497.4191666666666</v>
      </c>
      <c r="J38" s="55">
        <f t="shared" si="4"/>
        <v>0</v>
      </c>
      <c r="K38" s="53">
        <v>3497.4191666666666</v>
      </c>
      <c r="L38" s="14">
        <f t="shared" si="5"/>
        <v>41969.03</v>
      </c>
    </row>
    <row r="39" spans="2:12" x14ac:dyDescent="0.3">
      <c r="B39" s="64" t="s">
        <v>214</v>
      </c>
      <c r="C39" s="48">
        <v>0</v>
      </c>
      <c r="D39" s="49" t="s">
        <v>170</v>
      </c>
      <c r="E39" s="48">
        <v>13.75</v>
      </c>
      <c r="F39" s="49">
        <f t="shared" si="7"/>
        <v>2.1818181818181817</v>
      </c>
      <c r="G39" s="48">
        <v>33</v>
      </c>
      <c r="H39" s="48">
        <v>51.43</v>
      </c>
      <c r="I39" s="48">
        <v>43.75</v>
      </c>
      <c r="J39" s="55">
        <f t="shared" si="4"/>
        <v>0</v>
      </c>
      <c r="K39" s="53">
        <v>43.75</v>
      </c>
      <c r="L39" s="14">
        <f t="shared" si="5"/>
        <v>525</v>
      </c>
    </row>
    <row r="40" spans="2:12" x14ac:dyDescent="0.3">
      <c r="B40" s="64" t="s">
        <v>215</v>
      </c>
      <c r="C40" s="48">
        <v>379.31</v>
      </c>
      <c r="D40" s="49">
        <f t="shared" si="6"/>
        <v>1.0155281959347235</v>
      </c>
      <c r="E40" s="48">
        <v>764.51</v>
      </c>
      <c r="F40" s="49">
        <f t="shared" si="7"/>
        <v>0.1799420543877778</v>
      </c>
      <c r="G40" s="48">
        <v>525.73</v>
      </c>
      <c r="H40" s="48">
        <v>1170.8957142857143</v>
      </c>
      <c r="I40" s="48">
        <v>902.07749999999999</v>
      </c>
      <c r="J40" s="55">
        <f t="shared" si="4"/>
        <v>4.1999999999999982E-2</v>
      </c>
      <c r="K40" s="53">
        <v>939.96475499999997</v>
      </c>
      <c r="L40" s="14">
        <f t="shared" si="5"/>
        <v>11279.57706</v>
      </c>
    </row>
    <row r="41" spans="2:12" x14ac:dyDescent="0.3">
      <c r="B41" s="64" t="s">
        <v>216</v>
      </c>
      <c r="C41" s="48">
        <v>0</v>
      </c>
      <c r="D41" s="49" t="s">
        <v>170</v>
      </c>
      <c r="E41" s="48">
        <v>0</v>
      </c>
      <c r="F41" s="49" t="s">
        <v>170</v>
      </c>
      <c r="G41" s="48">
        <v>0</v>
      </c>
      <c r="H41" s="48">
        <v>71.430000000000007</v>
      </c>
      <c r="I41" s="48">
        <v>41.666666666666664</v>
      </c>
      <c r="J41" s="55">
        <f t="shared" si="4"/>
        <v>0</v>
      </c>
      <c r="K41" s="53">
        <v>41.666666666666664</v>
      </c>
      <c r="L41" s="14">
        <f t="shared" si="5"/>
        <v>500</v>
      </c>
    </row>
    <row r="42" spans="2:12" x14ac:dyDescent="0.3">
      <c r="B42" s="64" t="s">
        <v>217</v>
      </c>
      <c r="C42" s="48">
        <v>19.170000000000002</v>
      </c>
      <c r="D42" s="49">
        <f t="shared" si="6"/>
        <v>2.0213875847678664</v>
      </c>
      <c r="E42" s="48">
        <v>57.92</v>
      </c>
      <c r="F42" s="49">
        <f t="shared" si="7"/>
        <v>-0.85612338858195203</v>
      </c>
      <c r="G42" s="48">
        <v>0</v>
      </c>
      <c r="H42" s="48">
        <v>14.285714285714286</v>
      </c>
      <c r="I42" s="48">
        <v>8.3333333333333339</v>
      </c>
      <c r="J42" s="55" t="s">
        <v>170</v>
      </c>
      <c r="K42" s="53" t="s">
        <v>170</v>
      </c>
      <c r="L42" s="14" t="s">
        <v>170</v>
      </c>
    </row>
    <row r="43" spans="2:12" x14ac:dyDescent="0.3">
      <c r="B43" s="64" t="s">
        <v>218</v>
      </c>
      <c r="C43" s="48">
        <v>1991.56</v>
      </c>
      <c r="D43" s="49">
        <f t="shared" si="6"/>
        <v>-0.15035951716242546</v>
      </c>
      <c r="E43" s="48">
        <v>1692.11</v>
      </c>
      <c r="F43" s="49">
        <f t="shared" si="7"/>
        <v>2.5348036869155332E-2</v>
      </c>
      <c r="G43" s="48">
        <v>1709.72</v>
      </c>
      <c r="H43" s="48">
        <v>1753.06</v>
      </c>
      <c r="I43" s="48">
        <v>1735.0016666666663</v>
      </c>
      <c r="J43" s="55">
        <f t="shared" si="4"/>
        <v>3.9999999999999966E-2</v>
      </c>
      <c r="K43" s="53">
        <v>1804.4017333333329</v>
      </c>
      <c r="L43" s="14">
        <f t="shared" si="5"/>
        <v>21652.820799999994</v>
      </c>
    </row>
    <row r="44" spans="2:12" x14ac:dyDescent="0.3">
      <c r="B44" s="64" t="s">
        <v>219</v>
      </c>
      <c r="C44" s="48">
        <v>960.96</v>
      </c>
      <c r="D44" s="49">
        <f t="shared" si="6"/>
        <v>-5.5735930735930798E-2</v>
      </c>
      <c r="E44" s="48">
        <v>907.4</v>
      </c>
      <c r="F44" s="49">
        <f t="shared" si="7"/>
        <v>0.11473440599515125</v>
      </c>
      <c r="G44" s="48">
        <v>1013.72</v>
      </c>
      <c r="H44" s="48">
        <v>1009.9285714285714</v>
      </c>
      <c r="I44" s="48">
        <v>1011.5100000000002</v>
      </c>
      <c r="J44" s="55">
        <f t="shared" si="4"/>
        <v>3.9999999999999931E-2</v>
      </c>
      <c r="K44" s="53">
        <v>1051.9704000000002</v>
      </c>
      <c r="L44" s="14">
        <f t="shared" si="5"/>
        <v>12623.644800000002</v>
      </c>
    </row>
    <row r="45" spans="2:12" x14ac:dyDescent="0.3">
      <c r="B45" s="64" t="s">
        <v>220</v>
      </c>
      <c r="C45" s="48">
        <v>1283.33</v>
      </c>
      <c r="D45" s="49">
        <f t="shared" si="6"/>
        <v>-1</v>
      </c>
      <c r="E45" s="48">
        <v>0</v>
      </c>
      <c r="F45" s="49" t="s">
        <v>170</v>
      </c>
      <c r="G45" s="48">
        <v>0</v>
      </c>
      <c r="H45" s="48">
        <v>205.71428571428572</v>
      </c>
      <c r="I45" s="48">
        <v>120</v>
      </c>
      <c r="J45" s="55" t="s">
        <v>170</v>
      </c>
      <c r="K45" s="53" t="s">
        <v>170</v>
      </c>
      <c r="L45" s="55" t="s">
        <v>170</v>
      </c>
    </row>
    <row r="46" spans="2:12" ht="15.75" thickBot="1" x14ac:dyDescent="0.35">
      <c r="B46" s="64" t="s">
        <v>221</v>
      </c>
      <c r="C46" s="48">
        <v>0</v>
      </c>
      <c r="D46" s="49" t="s">
        <v>170</v>
      </c>
      <c r="E46" s="48">
        <v>97.22</v>
      </c>
      <c r="F46" s="49">
        <f t="shared" si="7"/>
        <v>6.4184324213124824E-2</v>
      </c>
      <c r="G46" s="48">
        <v>0</v>
      </c>
      <c r="H46" s="48">
        <v>177.36</v>
      </c>
      <c r="I46" s="48">
        <v>103.46</v>
      </c>
      <c r="J46" s="55">
        <f t="shared" si="4"/>
        <v>7.5000000000000025E-2</v>
      </c>
      <c r="K46" s="53">
        <v>111.2195</v>
      </c>
      <c r="L46" s="14">
        <f>K46*12</f>
        <v>1334.634</v>
      </c>
    </row>
    <row r="47" spans="2:12" ht="17.25" thickBot="1" x14ac:dyDescent="0.35">
      <c r="B47" s="58" t="s">
        <v>177</v>
      </c>
      <c r="C47" s="59">
        <f>SUM(C25:C46)</f>
        <v>229844.08000000002</v>
      </c>
      <c r="D47" s="60">
        <f>(E47-C47)/C47</f>
        <v>5.7367063793855422E-2</v>
      </c>
      <c r="E47" s="59">
        <f>SUM(E25:E46)</f>
        <v>243029.56000000003</v>
      </c>
      <c r="F47" s="60">
        <f>(G47-E47)/E47</f>
        <v>2.2907172279783557E-2</v>
      </c>
      <c r="G47" s="59">
        <f>SUM(G25:G46)</f>
        <v>248596.68000000002</v>
      </c>
      <c r="H47" s="59">
        <f>SUM(H25:H46)</f>
        <v>281359.04714285716</v>
      </c>
      <c r="I47" s="59">
        <f>SUM(I25:I46)</f>
        <v>268089.43416666664</v>
      </c>
      <c r="J47" s="63">
        <f>(K47-I47)/I47</f>
        <v>0.12526327217775726</v>
      </c>
      <c r="K47" s="59">
        <f>SUM(K25:K46)</f>
        <v>301671.19392666675</v>
      </c>
      <c r="L47" s="62">
        <f>K47*12</f>
        <v>3620054.327120001</v>
      </c>
    </row>
    <row r="48" spans="2:12" ht="15.6" customHeight="1" thickBot="1" x14ac:dyDescent="0.35">
      <c r="B48" s="144" t="s">
        <v>22</v>
      </c>
      <c r="C48" s="146">
        <v>2023</v>
      </c>
      <c r="D48" s="148" t="s">
        <v>186</v>
      </c>
      <c r="E48" s="150">
        <v>2024</v>
      </c>
      <c r="F48" s="148" t="s">
        <v>185</v>
      </c>
      <c r="G48" s="152">
        <v>2025</v>
      </c>
      <c r="H48" s="153"/>
      <c r="I48" s="154"/>
      <c r="J48" s="155" t="s">
        <v>184</v>
      </c>
      <c r="K48" s="142" t="s">
        <v>1</v>
      </c>
      <c r="L48" s="140" t="s">
        <v>2</v>
      </c>
    </row>
    <row r="49" spans="2:13" ht="45" x14ac:dyDescent="0.3">
      <c r="B49" s="145"/>
      <c r="C49" s="147"/>
      <c r="D49" s="149" t="s">
        <v>183</v>
      </c>
      <c r="E49" s="151"/>
      <c r="F49" s="149" t="s">
        <v>183</v>
      </c>
      <c r="G49" s="43" t="s">
        <v>3</v>
      </c>
      <c r="H49" s="43" t="s">
        <v>171</v>
      </c>
      <c r="I49" s="43" t="s">
        <v>4</v>
      </c>
      <c r="J49" s="156"/>
      <c r="K49" s="143"/>
      <c r="L49" s="141"/>
    </row>
    <row r="50" spans="2:13" x14ac:dyDescent="0.3">
      <c r="B50" s="64" t="s">
        <v>23</v>
      </c>
      <c r="C50" s="48">
        <v>635.1</v>
      </c>
      <c r="D50" s="49">
        <f t="shared" ref="D50:D60" si="8">(E50-C50)/C50</f>
        <v>-0.5067705873090852</v>
      </c>
      <c r="E50" s="48">
        <v>313.25</v>
      </c>
      <c r="F50" s="49">
        <f>(I50-E50)/E50</f>
        <v>0.17490822027134864</v>
      </c>
      <c r="G50" s="48">
        <v>178.81</v>
      </c>
      <c r="H50" s="48">
        <v>503.20428571428567</v>
      </c>
      <c r="I50" s="48">
        <v>368.03999999999996</v>
      </c>
      <c r="J50" s="55">
        <f t="shared" ref="J50:J59" si="9">(K50-I50)/I50</f>
        <v>0</v>
      </c>
      <c r="K50" s="53">
        <v>368.03999999999996</v>
      </c>
      <c r="L50" s="14">
        <f t="shared" ref="L50:L58" si="10">K50*12</f>
        <v>4416.4799999999996</v>
      </c>
    </row>
    <row r="51" spans="2:13" x14ac:dyDescent="0.3">
      <c r="B51" s="64" t="s">
        <v>24</v>
      </c>
      <c r="C51" s="48">
        <v>0</v>
      </c>
      <c r="D51" s="49" t="s">
        <v>170</v>
      </c>
      <c r="E51" s="48">
        <v>273.55</v>
      </c>
      <c r="F51" s="49">
        <f>(I51-E51)/E51</f>
        <v>-0.5678181928958751</v>
      </c>
      <c r="G51" s="48">
        <v>283.74</v>
      </c>
      <c r="H51" s="48">
        <v>0</v>
      </c>
      <c r="I51" s="48">
        <v>118.22333333333334</v>
      </c>
      <c r="J51" s="55">
        <f t="shared" si="9"/>
        <v>7.4999999999999956E-2</v>
      </c>
      <c r="K51" s="53">
        <v>127.09008333333334</v>
      </c>
      <c r="L51" s="14">
        <f t="shared" si="10"/>
        <v>1525.0810000000001</v>
      </c>
    </row>
    <row r="52" spans="2:13" x14ac:dyDescent="0.3">
      <c r="B52" s="64" t="s">
        <v>25</v>
      </c>
      <c r="C52" s="48">
        <v>0</v>
      </c>
      <c r="D52" s="49" t="s">
        <v>170</v>
      </c>
      <c r="E52" s="48">
        <v>0</v>
      </c>
      <c r="F52" s="49" t="s">
        <v>170</v>
      </c>
      <c r="G52" s="48">
        <v>1017.03</v>
      </c>
      <c r="H52" s="48">
        <v>2361.0414285714287</v>
      </c>
      <c r="I52" s="48">
        <v>1801.0383333333332</v>
      </c>
      <c r="J52" s="55">
        <f t="shared" si="9"/>
        <v>2.7185244067542604E-2</v>
      </c>
      <c r="K52" s="53">
        <v>1850</v>
      </c>
      <c r="L52" s="14">
        <f t="shared" si="10"/>
        <v>22200</v>
      </c>
    </row>
    <row r="53" spans="2:13" x14ac:dyDescent="0.3">
      <c r="B53" s="64" t="s">
        <v>26</v>
      </c>
      <c r="C53" s="48">
        <v>167.98</v>
      </c>
      <c r="D53" s="49">
        <f t="shared" si="8"/>
        <v>-1</v>
      </c>
      <c r="E53" s="48">
        <v>0</v>
      </c>
      <c r="F53" s="49" t="s">
        <v>170</v>
      </c>
      <c r="G53" s="48">
        <v>0</v>
      </c>
      <c r="H53" s="48">
        <v>0</v>
      </c>
      <c r="I53" s="48">
        <v>0</v>
      </c>
      <c r="J53" s="55" t="s">
        <v>170</v>
      </c>
      <c r="K53" s="53" t="s">
        <v>170</v>
      </c>
      <c r="L53" s="14" t="s">
        <v>170</v>
      </c>
    </row>
    <row r="54" spans="2:13" x14ac:dyDescent="0.3">
      <c r="B54" s="64" t="s">
        <v>206</v>
      </c>
      <c r="C54" s="48">
        <v>2937.86</v>
      </c>
      <c r="D54" s="49">
        <f t="shared" si="8"/>
        <v>3.6257684164664065E-2</v>
      </c>
      <c r="E54" s="48">
        <v>3044.38</v>
      </c>
      <c r="F54" s="49">
        <f>(I54-E54)/E54</f>
        <v>4.1077329374125379E-2</v>
      </c>
      <c r="G54" s="48">
        <v>1267.77</v>
      </c>
      <c r="H54" s="48">
        <v>4527.767142857143</v>
      </c>
      <c r="I54" s="48">
        <v>3169.4349999999999</v>
      </c>
      <c r="J54" s="55">
        <f t="shared" si="9"/>
        <v>5.0000000000000051E-2</v>
      </c>
      <c r="K54" s="53">
        <v>3327.9067500000001</v>
      </c>
      <c r="L54" s="14">
        <f t="shared" si="10"/>
        <v>39934.881000000001</v>
      </c>
    </row>
    <row r="55" spans="2:13" x14ac:dyDescent="0.3">
      <c r="B55" s="64" t="s">
        <v>207</v>
      </c>
      <c r="C55" s="48">
        <v>0</v>
      </c>
      <c r="D55" s="49" t="s">
        <v>170</v>
      </c>
      <c r="E55" s="48">
        <v>6.78</v>
      </c>
      <c r="F55" s="49" t="s">
        <v>170</v>
      </c>
      <c r="G55" s="48">
        <v>0</v>
      </c>
      <c r="H55" s="48">
        <v>0</v>
      </c>
      <c r="I55" s="48">
        <v>0</v>
      </c>
      <c r="J55" s="55" t="s">
        <v>170</v>
      </c>
      <c r="K55" s="53" t="s">
        <v>170</v>
      </c>
      <c r="L55" s="14" t="s">
        <v>170</v>
      </c>
    </row>
    <row r="56" spans="2:13" x14ac:dyDescent="0.3">
      <c r="B56" s="64" t="s">
        <v>208</v>
      </c>
      <c r="C56" s="48">
        <v>4.75</v>
      </c>
      <c r="D56" s="49">
        <f t="shared" si="8"/>
        <v>-1</v>
      </c>
      <c r="E56" s="48">
        <v>0</v>
      </c>
      <c r="F56" s="49" t="s">
        <v>170</v>
      </c>
      <c r="G56" s="48">
        <v>47.22</v>
      </c>
      <c r="H56" s="48">
        <v>0</v>
      </c>
      <c r="I56" s="48">
        <v>19.673333333333336</v>
      </c>
      <c r="J56" s="55">
        <f t="shared" si="9"/>
        <v>11.707556760420195</v>
      </c>
      <c r="K56" s="53">
        <v>250</v>
      </c>
      <c r="L56" s="14">
        <f t="shared" si="10"/>
        <v>3000</v>
      </c>
    </row>
    <row r="57" spans="2:13" x14ac:dyDescent="0.3">
      <c r="B57" s="64" t="s">
        <v>209</v>
      </c>
      <c r="C57" s="48">
        <v>0</v>
      </c>
      <c r="D57" s="49" t="s">
        <v>170</v>
      </c>
      <c r="E57" s="48">
        <v>0</v>
      </c>
      <c r="F57" s="49" t="s">
        <v>170</v>
      </c>
      <c r="G57" s="48">
        <v>0</v>
      </c>
      <c r="H57" s="48">
        <v>14.718571428571428</v>
      </c>
      <c r="I57" s="48">
        <v>8.5858333333333334</v>
      </c>
      <c r="J57" s="55" t="s">
        <v>170</v>
      </c>
      <c r="K57" s="53">
        <v>8.5858333333333334</v>
      </c>
      <c r="L57" s="14">
        <f t="shared" si="10"/>
        <v>103.03</v>
      </c>
    </row>
    <row r="58" spans="2:13" x14ac:dyDescent="0.3">
      <c r="B58" s="64" t="s">
        <v>210</v>
      </c>
      <c r="C58" s="48">
        <v>0</v>
      </c>
      <c r="D58" s="49" t="s">
        <v>170</v>
      </c>
      <c r="E58" s="48">
        <v>0</v>
      </c>
      <c r="F58" s="49" t="s">
        <v>170</v>
      </c>
      <c r="G58" s="48">
        <v>0</v>
      </c>
      <c r="H58" s="48">
        <v>772.04</v>
      </c>
      <c r="I58" s="48">
        <v>450.35666666666663</v>
      </c>
      <c r="J58" s="55">
        <f t="shared" si="9"/>
        <v>0.7985744632032391</v>
      </c>
      <c r="K58" s="53">
        <v>810</v>
      </c>
      <c r="L58" s="14">
        <f t="shared" si="10"/>
        <v>9720</v>
      </c>
    </row>
    <row r="59" spans="2:13" ht="15.75" thickBot="1" x14ac:dyDescent="0.35">
      <c r="B59" s="64" t="s">
        <v>211</v>
      </c>
      <c r="C59" s="48">
        <v>7.75</v>
      </c>
      <c r="D59" s="49">
        <f t="shared" si="8"/>
        <v>-1</v>
      </c>
      <c r="E59" s="48">
        <v>0</v>
      </c>
      <c r="F59" s="49" t="s">
        <v>170</v>
      </c>
      <c r="G59" s="48">
        <v>0</v>
      </c>
      <c r="H59" s="48">
        <v>85.714285714285708</v>
      </c>
      <c r="I59" s="48">
        <v>50</v>
      </c>
      <c r="J59" s="55">
        <f t="shared" si="9"/>
        <v>0.05</v>
      </c>
      <c r="K59" s="53">
        <v>52.5</v>
      </c>
      <c r="L59" s="14">
        <f>K59*12</f>
        <v>630</v>
      </c>
    </row>
    <row r="60" spans="2:13" ht="17.25" thickBot="1" x14ac:dyDescent="0.35">
      <c r="B60" s="58" t="s">
        <v>178</v>
      </c>
      <c r="C60" s="59">
        <f>SUM(C50:C59)</f>
        <v>3753.44</v>
      </c>
      <c r="D60" s="60">
        <f t="shared" si="8"/>
        <v>-3.0766443582420276E-2</v>
      </c>
      <c r="E60" s="59">
        <f>SUM(E50:E59)</f>
        <v>3637.9600000000005</v>
      </c>
      <c r="F60" s="60">
        <f>(G60-E60)/E60</f>
        <v>-0.23183047642085142</v>
      </c>
      <c r="G60" s="59">
        <f>SUM(G50:G59)</f>
        <v>2794.5699999999997</v>
      </c>
      <c r="H60" s="59">
        <f>SUM(H50:H59)</f>
        <v>8264.4857142857145</v>
      </c>
      <c r="I60" s="59">
        <f>SUM(I50:I59)</f>
        <v>5985.3524999999991</v>
      </c>
      <c r="J60" s="63">
        <f>(K60-I60)/I60</f>
        <v>0.13512490144342679</v>
      </c>
      <c r="K60" s="59">
        <f>SUM(K50:K59)</f>
        <v>6794.1226666666671</v>
      </c>
      <c r="L60" s="62">
        <f>K60*12</f>
        <v>81529.472000000009</v>
      </c>
    </row>
    <row r="61" spans="2:13" ht="15.75" thickBot="1" x14ac:dyDescent="0.35">
      <c r="B61" s="144" t="s">
        <v>27</v>
      </c>
      <c r="C61" s="146">
        <v>2023</v>
      </c>
      <c r="D61" s="148" t="s">
        <v>186</v>
      </c>
      <c r="E61" s="150">
        <v>2024</v>
      </c>
      <c r="F61" s="148" t="s">
        <v>185</v>
      </c>
      <c r="G61" s="152">
        <v>2025</v>
      </c>
      <c r="H61" s="153"/>
      <c r="I61" s="154"/>
      <c r="J61" s="155" t="s">
        <v>184</v>
      </c>
      <c r="K61" s="142" t="s">
        <v>1</v>
      </c>
      <c r="L61" s="140" t="s">
        <v>2</v>
      </c>
    </row>
    <row r="62" spans="2:13" ht="45" x14ac:dyDescent="0.3">
      <c r="B62" s="145"/>
      <c r="C62" s="147"/>
      <c r="D62" s="149" t="s">
        <v>183</v>
      </c>
      <c r="E62" s="151"/>
      <c r="F62" s="149" t="s">
        <v>183</v>
      </c>
      <c r="G62" s="43" t="s">
        <v>3</v>
      </c>
      <c r="H62" s="43" t="s">
        <v>171</v>
      </c>
      <c r="I62" s="43" t="s">
        <v>4</v>
      </c>
      <c r="J62" s="156"/>
      <c r="K62" s="143"/>
      <c r="L62" s="141"/>
    </row>
    <row r="63" spans="2:13" x14ac:dyDescent="0.3">
      <c r="B63" s="10" t="s">
        <v>222</v>
      </c>
      <c r="C63" s="11">
        <v>4417.9799999999996</v>
      </c>
      <c r="D63" s="49">
        <f t="shared" ref="D63:D111" si="11">(E63-C63)/C63</f>
        <v>2.2806803109113268E-2</v>
      </c>
      <c r="E63" s="11">
        <v>4518.74</v>
      </c>
      <c r="F63" s="49">
        <f t="shared" ref="F63:F111" si="12">(I63-E63)/E63</f>
        <v>0.15421924400754811</v>
      </c>
      <c r="G63" s="11">
        <v>4759.2420000000002</v>
      </c>
      <c r="H63" s="11">
        <v>5541.5985714285716</v>
      </c>
      <c r="I63" s="11">
        <v>5215.6166666666677</v>
      </c>
      <c r="J63" s="55">
        <f t="shared" ref="J63:J110" si="13">(K63-I63)/I63</f>
        <v>0.1064386761552643</v>
      </c>
      <c r="K63" s="53">
        <v>5770.76</v>
      </c>
      <c r="L63" s="14">
        <f t="shared" ref="L63:L109" si="14">K63*12</f>
        <v>69249.119999999995</v>
      </c>
      <c r="M63" s="84"/>
    </row>
    <row r="64" spans="2:13" x14ac:dyDescent="0.3">
      <c r="B64" s="10" t="s">
        <v>223</v>
      </c>
      <c r="C64" s="11">
        <v>3779.43</v>
      </c>
      <c r="D64" s="49">
        <f t="shared" si="11"/>
        <v>0.1295433438375628</v>
      </c>
      <c r="E64" s="11">
        <v>4269.03</v>
      </c>
      <c r="F64" s="49">
        <f t="shared" si="12"/>
        <v>4.6148851924988306E-2</v>
      </c>
      <c r="G64" s="11">
        <v>4501.9139999999998</v>
      </c>
      <c r="H64" s="11">
        <v>4440.4171428571435</v>
      </c>
      <c r="I64" s="11">
        <v>4466.0408333333326</v>
      </c>
      <c r="J64" s="55">
        <f t="shared" si="13"/>
        <v>4.0431597785436091E-2</v>
      </c>
      <c r="K64" s="53">
        <v>4646.6099999999997</v>
      </c>
      <c r="L64" s="14">
        <f t="shared" si="14"/>
        <v>55759.319999999992</v>
      </c>
    </row>
    <row r="65" spans="1:12" x14ac:dyDescent="0.3">
      <c r="B65" s="10" t="s">
        <v>224</v>
      </c>
      <c r="C65" s="11">
        <v>3665.22</v>
      </c>
      <c r="D65" s="49">
        <f t="shared" si="11"/>
        <v>2.9872695227026003E-2</v>
      </c>
      <c r="E65" s="11">
        <v>3774.71</v>
      </c>
      <c r="F65" s="49">
        <f t="shared" si="12"/>
        <v>0.20298071463326525</v>
      </c>
      <c r="G65" s="11">
        <v>3975.0459999999998</v>
      </c>
      <c r="H65" s="11">
        <v>4945.0871428571427</v>
      </c>
      <c r="I65" s="11">
        <v>4540.9033333333327</v>
      </c>
      <c r="J65" s="55">
        <f t="shared" si="13"/>
        <v>2.3278774928043013E-2</v>
      </c>
      <c r="K65" s="53">
        <v>4646.6099999999997</v>
      </c>
      <c r="L65" s="14">
        <f t="shared" si="14"/>
        <v>55759.319999999992</v>
      </c>
    </row>
    <row r="66" spans="1:12" x14ac:dyDescent="0.3">
      <c r="B66" s="10" t="s">
        <v>28</v>
      </c>
      <c r="C66" s="11">
        <v>10189.02</v>
      </c>
      <c r="D66" s="49">
        <f t="shared" si="11"/>
        <v>3.6617849410443826E-2</v>
      </c>
      <c r="E66" s="11">
        <v>10562.12</v>
      </c>
      <c r="F66" s="49">
        <f t="shared" si="12"/>
        <v>3.122274063666497E-2</v>
      </c>
      <c r="G66" s="11">
        <v>10518.766</v>
      </c>
      <c r="H66" s="11">
        <v>11158.421428571428</v>
      </c>
      <c r="I66" s="11">
        <v>10891.898333333333</v>
      </c>
      <c r="J66" s="55">
        <f t="shared" si="13"/>
        <v>0</v>
      </c>
      <c r="K66" s="53">
        <v>10891.898333333333</v>
      </c>
      <c r="L66" s="14">
        <f t="shared" si="14"/>
        <v>130702.78</v>
      </c>
    </row>
    <row r="67" spans="1:12" x14ac:dyDescent="0.3">
      <c r="B67" s="10" t="s">
        <v>29</v>
      </c>
      <c r="C67" s="11">
        <v>31.66</v>
      </c>
      <c r="D67" s="49">
        <f t="shared" si="11"/>
        <v>-0.71036007580543281</v>
      </c>
      <c r="E67" s="11">
        <v>9.17</v>
      </c>
      <c r="F67" s="49">
        <f t="shared" si="12"/>
        <v>4.456288622319156</v>
      </c>
      <c r="G67" s="11">
        <v>120.08199999999999</v>
      </c>
      <c r="H67" s="11">
        <v>0</v>
      </c>
      <c r="I67" s="11">
        <f>G67*5/12</f>
        <v>50.034166666666664</v>
      </c>
      <c r="J67" s="12">
        <v>0</v>
      </c>
      <c r="K67" s="13">
        <f>(I67*J67)+I67</f>
        <v>50.034166666666664</v>
      </c>
      <c r="L67" s="14">
        <f t="shared" si="14"/>
        <v>600.41</v>
      </c>
    </row>
    <row r="68" spans="1:12" x14ac:dyDescent="0.3">
      <c r="B68" s="10" t="s">
        <v>30</v>
      </c>
      <c r="C68" s="11">
        <v>216.39</v>
      </c>
      <c r="D68" s="49">
        <f t="shared" si="11"/>
        <v>-0.38010074402698835</v>
      </c>
      <c r="E68" s="11">
        <v>134.13999999999999</v>
      </c>
      <c r="F68" s="49">
        <f t="shared" si="12"/>
        <v>-0.60579121316037965</v>
      </c>
      <c r="G68" s="11">
        <v>54.39</v>
      </c>
      <c r="H68" s="11">
        <v>51.800000000000004</v>
      </c>
      <c r="I68" s="11">
        <v>52.87916666666667</v>
      </c>
      <c r="J68" s="55">
        <f t="shared" si="13"/>
        <v>0</v>
      </c>
      <c r="K68" s="53">
        <v>52.87916666666667</v>
      </c>
      <c r="L68" s="14">
        <f t="shared" si="14"/>
        <v>634.55000000000007</v>
      </c>
    </row>
    <row r="69" spans="1:12" x14ac:dyDescent="0.3">
      <c r="B69" s="10" t="s">
        <v>31</v>
      </c>
      <c r="C69" s="11">
        <v>23.98</v>
      </c>
      <c r="D69" s="49" t="s">
        <v>170</v>
      </c>
      <c r="E69" s="11">
        <v>0</v>
      </c>
      <c r="F69" s="49" t="s">
        <v>170</v>
      </c>
      <c r="G69" s="11">
        <v>0</v>
      </c>
      <c r="H69" s="11">
        <v>0</v>
      </c>
      <c r="I69" s="11">
        <v>0</v>
      </c>
      <c r="J69" s="55" t="s">
        <v>170</v>
      </c>
      <c r="K69" s="53" t="s">
        <v>170</v>
      </c>
      <c r="L69" s="14" t="s">
        <v>170</v>
      </c>
    </row>
    <row r="70" spans="1:12" x14ac:dyDescent="0.3">
      <c r="B70" s="38" t="s">
        <v>225</v>
      </c>
      <c r="C70" s="11">
        <v>11.5</v>
      </c>
      <c r="D70" s="85">
        <f t="shared" si="11"/>
        <v>1.0286956521739128</v>
      </c>
      <c r="E70" s="11">
        <v>23.33</v>
      </c>
      <c r="F70" s="85">
        <f t="shared" si="12"/>
        <v>4.1902057436776685</v>
      </c>
      <c r="G70" s="11">
        <v>257.81</v>
      </c>
      <c r="H70" s="11">
        <v>23.428571428571427</v>
      </c>
      <c r="I70" s="11">
        <v>121.08749999999999</v>
      </c>
      <c r="J70" s="55">
        <f t="shared" si="13"/>
        <v>4.0000000000000049E-2</v>
      </c>
      <c r="K70" s="57">
        <v>125.931</v>
      </c>
      <c r="L70" s="14">
        <f t="shared" si="14"/>
        <v>1511.172</v>
      </c>
    </row>
    <row r="71" spans="1:12" x14ac:dyDescent="0.3">
      <c r="A71" s="83"/>
      <c r="B71" s="38" t="s">
        <v>226</v>
      </c>
      <c r="C71" s="11">
        <v>304.45</v>
      </c>
      <c r="D71" s="85">
        <f t="shared" si="11"/>
        <v>2.0245360486122519</v>
      </c>
      <c r="E71" s="11">
        <v>920.82</v>
      </c>
      <c r="F71" s="85">
        <f t="shared" si="12"/>
        <v>1.3361632385627302</v>
      </c>
      <c r="G71" s="11">
        <v>3492.808</v>
      </c>
      <c r="H71" s="11">
        <v>1192.8842857142856</v>
      </c>
      <c r="I71" s="11">
        <v>2151.1858333333334</v>
      </c>
      <c r="J71" s="55">
        <f t="shared" si="13"/>
        <v>-0.32223428705795221</v>
      </c>
      <c r="K71" s="57">
        <v>1458</v>
      </c>
      <c r="L71" s="14">
        <f t="shared" si="14"/>
        <v>17496</v>
      </c>
    </row>
    <row r="72" spans="1:12" x14ac:dyDescent="0.3">
      <c r="B72" s="10" t="s">
        <v>227</v>
      </c>
      <c r="C72" s="11">
        <v>28.96</v>
      </c>
      <c r="D72" s="49">
        <f t="shared" si="11"/>
        <v>-0.71236187845303878</v>
      </c>
      <c r="E72" s="11">
        <v>8.33</v>
      </c>
      <c r="F72" s="49">
        <f t="shared" si="12"/>
        <v>1.5770308123249301</v>
      </c>
      <c r="G72" s="11">
        <v>35.520000000000003</v>
      </c>
      <c r="H72" s="11">
        <v>11.428571428571429</v>
      </c>
      <c r="I72" s="11">
        <v>21.466666666666669</v>
      </c>
      <c r="J72" s="55">
        <f t="shared" si="13"/>
        <v>0.16459627329192536</v>
      </c>
      <c r="K72" s="53">
        <v>25</v>
      </c>
      <c r="L72" s="14">
        <f t="shared" si="14"/>
        <v>300</v>
      </c>
    </row>
    <row r="73" spans="1:12" x14ac:dyDescent="0.3">
      <c r="B73" s="10" t="s">
        <v>32</v>
      </c>
      <c r="C73" s="11">
        <v>851.23</v>
      </c>
      <c r="D73" s="49">
        <f t="shared" si="11"/>
        <v>3.7099256370193637E-2</v>
      </c>
      <c r="E73" s="11">
        <v>882.81</v>
      </c>
      <c r="F73" s="49">
        <f t="shared" si="12"/>
        <v>-0.33321061912151712</v>
      </c>
      <c r="G73" s="11">
        <v>0</v>
      </c>
      <c r="H73" s="11">
        <v>1009.1114285714286</v>
      </c>
      <c r="I73" s="11">
        <v>588.64833333333343</v>
      </c>
      <c r="J73" s="55">
        <f t="shared" si="13"/>
        <v>3.999999999999998E-2</v>
      </c>
      <c r="K73" s="53">
        <v>612.19426666666675</v>
      </c>
      <c r="L73" s="14">
        <f t="shared" si="14"/>
        <v>7346.3312000000005</v>
      </c>
    </row>
    <row r="74" spans="1:12" x14ac:dyDescent="0.3">
      <c r="B74" s="10" t="s">
        <v>33</v>
      </c>
      <c r="C74" s="11">
        <v>329.56</v>
      </c>
      <c r="D74" s="49">
        <f t="shared" si="11"/>
        <v>-0.27266658575069797</v>
      </c>
      <c r="E74" s="11">
        <v>239.7</v>
      </c>
      <c r="F74" s="49">
        <f t="shared" si="12"/>
        <v>0.72028229731608973</v>
      </c>
      <c r="G74" s="11">
        <v>868.12599999999998</v>
      </c>
      <c r="H74" s="11">
        <v>86.798571428571435</v>
      </c>
      <c r="I74" s="11">
        <v>412.35166666666669</v>
      </c>
      <c r="J74" s="55">
        <f t="shared" si="13"/>
        <v>3.9999999999999931E-2</v>
      </c>
      <c r="K74" s="53">
        <v>428.84573333333333</v>
      </c>
      <c r="L74" s="14">
        <f t="shared" si="14"/>
        <v>5146.1487999999999</v>
      </c>
    </row>
    <row r="75" spans="1:12" x14ac:dyDescent="0.3">
      <c r="B75" s="10" t="s">
        <v>34</v>
      </c>
      <c r="C75" s="11">
        <v>145.66999999999999</v>
      </c>
      <c r="D75" s="49" t="s">
        <v>170</v>
      </c>
      <c r="E75" s="11">
        <v>0</v>
      </c>
      <c r="F75" s="49" t="s">
        <v>170</v>
      </c>
      <c r="G75" s="11">
        <v>0</v>
      </c>
      <c r="H75" s="11">
        <v>0</v>
      </c>
      <c r="I75" s="11">
        <v>0</v>
      </c>
      <c r="J75" s="55" t="s">
        <v>170</v>
      </c>
      <c r="K75" s="53" t="s">
        <v>170</v>
      </c>
      <c r="L75" s="14" t="s">
        <v>170</v>
      </c>
    </row>
    <row r="76" spans="1:12" x14ac:dyDescent="0.3">
      <c r="B76" s="38" t="s">
        <v>35</v>
      </c>
      <c r="C76" s="11">
        <v>178.36</v>
      </c>
      <c r="D76" s="49">
        <f t="shared" si="11"/>
        <v>1.4720789414666964</v>
      </c>
      <c r="E76" s="11">
        <v>440.92</v>
      </c>
      <c r="F76" s="49">
        <f t="shared" si="12"/>
        <v>0.140082101061417</v>
      </c>
      <c r="G76" s="11">
        <v>83.168000000000006</v>
      </c>
      <c r="H76" s="11">
        <v>802.34</v>
      </c>
      <c r="I76" s="11">
        <v>502.685</v>
      </c>
      <c r="J76" s="55" t="s">
        <v>170</v>
      </c>
      <c r="K76" s="53" t="s">
        <v>170</v>
      </c>
      <c r="L76" s="14" t="s">
        <v>170</v>
      </c>
    </row>
    <row r="77" spans="1:12" x14ac:dyDescent="0.3">
      <c r="B77" s="10" t="s">
        <v>36</v>
      </c>
      <c r="C77" s="11">
        <v>20.170000000000002</v>
      </c>
      <c r="D77" s="49" t="s">
        <v>170</v>
      </c>
      <c r="E77" s="11">
        <v>0</v>
      </c>
      <c r="F77" s="49" t="s">
        <v>170</v>
      </c>
      <c r="G77" s="11">
        <v>80</v>
      </c>
      <c r="H77" s="11">
        <v>0</v>
      </c>
      <c r="I77" s="11">
        <v>33.333333333333336</v>
      </c>
      <c r="J77" s="55">
        <f t="shared" si="13"/>
        <v>4.000000000000007E-2</v>
      </c>
      <c r="K77" s="53">
        <v>34.666666666666671</v>
      </c>
      <c r="L77" s="14">
        <f t="shared" si="14"/>
        <v>416.00000000000006</v>
      </c>
    </row>
    <row r="78" spans="1:12" x14ac:dyDescent="0.3">
      <c r="B78" s="10" t="s">
        <v>37</v>
      </c>
      <c r="C78" s="11">
        <v>930.78</v>
      </c>
      <c r="D78" s="49">
        <f t="shared" si="11"/>
        <v>-0.56701905928361163</v>
      </c>
      <c r="E78" s="11">
        <v>403.01</v>
      </c>
      <c r="F78" s="49">
        <f t="shared" si="12"/>
        <v>-0.19184180706847653</v>
      </c>
      <c r="G78" s="11">
        <v>438.76600000000002</v>
      </c>
      <c r="H78" s="11">
        <v>244.93142857142857</v>
      </c>
      <c r="I78" s="11">
        <v>325.69583333333327</v>
      </c>
      <c r="J78" s="55">
        <f t="shared" si="13"/>
        <v>4.1999999999999926E-2</v>
      </c>
      <c r="K78" s="53">
        <v>339.37505833333324</v>
      </c>
      <c r="L78" s="14">
        <f t="shared" si="14"/>
        <v>4072.5006999999987</v>
      </c>
    </row>
    <row r="79" spans="1:12" x14ac:dyDescent="0.3">
      <c r="B79" s="10" t="s">
        <v>38</v>
      </c>
      <c r="C79" s="11">
        <v>496.65</v>
      </c>
      <c r="D79" s="49">
        <f t="shared" si="11"/>
        <v>-0.40849692942716198</v>
      </c>
      <c r="E79" s="11">
        <v>293.77</v>
      </c>
      <c r="F79" s="49">
        <f t="shared" si="12"/>
        <v>2.8354750314872188</v>
      </c>
      <c r="G79" s="11">
        <v>1743.9880000000001</v>
      </c>
      <c r="H79" s="11">
        <v>685.86142857142852</v>
      </c>
      <c r="I79" s="11">
        <v>1126.7475000000002</v>
      </c>
      <c r="J79" s="55">
        <f t="shared" si="13"/>
        <v>-0.55624485521379019</v>
      </c>
      <c r="K79" s="53">
        <v>500</v>
      </c>
      <c r="L79" s="14">
        <f t="shared" si="14"/>
        <v>6000</v>
      </c>
    </row>
    <row r="80" spans="1:12" x14ac:dyDescent="0.3">
      <c r="B80" s="38" t="s">
        <v>39</v>
      </c>
      <c r="C80" s="11">
        <v>0</v>
      </c>
      <c r="D80" s="49" t="s">
        <v>170</v>
      </c>
      <c r="E80" s="11">
        <v>144.79</v>
      </c>
      <c r="F80" s="49">
        <f t="shared" si="12"/>
        <v>1.1510923866739077E-5</v>
      </c>
      <c r="G80" s="11">
        <v>0</v>
      </c>
      <c r="H80" s="11">
        <v>248.21428571428572</v>
      </c>
      <c r="I80" s="11">
        <v>144.79166666666666</v>
      </c>
      <c r="J80" s="55" t="s">
        <v>170</v>
      </c>
      <c r="K80" s="53" t="s">
        <v>170</v>
      </c>
      <c r="L80" s="14" t="s">
        <v>170</v>
      </c>
    </row>
    <row r="81" spans="1:12" x14ac:dyDescent="0.3">
      <c r="A81" s="83"/>
      <c r="B81" s="38" t="s">
        <v>40</v>
      </c>
      <c r="C81" s="11">
        <v>3798.61</v>
      </c>
      <c r="D81" s="85">
        <f t="shared" si="11"/>
        <v>0.13523894266586983</v>
      </c>
      <c r="E81" s="11">
        <v>4312.33</v>
      </c>
      <c r="F81" s="85">
        <f t="shared" si="12"/>
        <v>0.18956785929339057</v>
      </c>
      <c r="G81" s="11">
        <v>4856.3999999999996</v>
      </c>
      <c r="H81" s="11">
        <v>5325.1014285714282</v>
      </c>
      <c r="I81" s="11">
        <v>5129.8091666666669</v>
      </c>
      <c r="J81" s="55">
        <f t="shared" si="13"/>
        <v>0.25423769012849889</v>
      </c>
      <c r="K81" s="57">
        <v>6434</v>
      </c>
      <c r="L81" s="14">
        <f t="shared" si="14"/>
        <v>77208</v>
      </c>
    </row>
    <row r="82" spans="1:12" x14ac:dyDescent="0.3">
      <c r="B82" s="38" t="s">
        <v>41</v>
      </c>
      <c r="C82" s="11">
        <v>15.31</v>
      </c>
      <c r="D82" s="49">
        <f t="shared" si="11"/>
        <v>107.9810581319399</v>
      </c>
      <c r="E82" s="11">
        <v>1668.5</v>
      </c>
      <c r="F82" s="49">
        <f t="shared" si="12"/>
        <v>0.35672210568374801</v>
      </c>
      <c r="G82" s="11">
        <v>1224</v>
      </c>
      <c r="H82" s="11">
        <v>3006.3271428571429</v>
      </c>
      <c r="I82" s="11">
        <v>2263.6908333333336</v>
      </c>
      <c r="J82" s="55" t="s">
        <v>170</v>
      </c>
      <c r="K82" s="53" t="s">
        <v>170</v>
      </c>
      <c r="L82" s="14" t="s">
        <v>170</v>
      </c>
    </row>
    <row r="83" spans="1:12" x14ac:dyDescent="0.3">
      <c r="B83" s="38" t="s">
        <v>182</v>
      </c>
      <c r="C83" s="11">
        <v>2265.35</v>
      </c>
      <c r="D83" s="49">
        <f t="shared" si="11"/>
        <v>-4.9855430728143579E-2</v>
      </c>
      <c r="E83" s="11">
        <v>2152.41</v>
      </c>
      <c r="F83" s="49">
        <f t="shared" si="12"/>
        <v>0.27463633787243125</v>
      </c>
      <c r="G83" s="11">
        <v>2300</v>
      </c>
      <c r="H83" s="11">
        <v>3060.3542857142857</v>
      </c>
      <c r="I83" s="11">
        <v>2743.5399999999995</v>
      </c>
      <c r="J83" s="55">
        <f t="shared" si="13"/>
        <v>0.64021665439541642</v>
      </c>
      <c r="K83" s="53">
        <v>4500</v>
      </c>
      <c r="L83" s="14">
        <f t="shared" si="14"/>
        <v>54000</v>
      </c>
    </row>
    <row r="84" spans="1:12" x14ac:dyDescent="0.3">
      <c r="B84" s="10" t="s">
        <v>42</v>
      </c>
      <c r="C84" s="11">
        <v>2.0499999999999998</v>
      </c>
      <c r="D84" s="49" t="s">
        <v>170</v>
      </c>
      <c r="E84" s="11">
        <v>0</v>
      </c>
      <c r="F84" s="49" t="s">
        <v>170</v>
      </c>
      <c r="G84" s="11">
        <v>0</v>
      </c>
      <c r="H84" s="11">
        <v>0</v>
      </c>
      <c r="I84" s="11">
        <v>0</v>
      </c>
      <c r="J84" s="55" t="s">
        <v>170</v>
      </c>
      <c r="K84" s="53" t="s">
        <v>170</v>
      </c>
      <c r="L84" s="14" t="s">
        <v>170</v>
      </c>
    </row>
    <row r="85" spans="1:12" x14ac:dyDescent="0.3">
      <c r="B85" s="10" t="s">
        <v>43</v>
      </c>
      <c r="C85" s="11">
        <v>213.32</v>
      </c>
      <c r="D85" s="49">
        <f t="shared" si="11"/>
        <v>2.8456309769360586</v>
      </c>
      <c r="E85" s="11">
        <v>820.35</v>
      </c>
      <c r="F85" s="49">
        <f t="shared" si="12"/>
        <v>0.82317608337904535</v>
      </c>
      <c r="G85" s="11">
        <v>228</v>
      </c>
      <c r="H85" s="11">
        <v>2401.1014285714286</v>
      </c>
      <c r="I85" s="11">
        <v>1495.6424999999999</v>
      </c>
      <c r="J85" s="55">
        <f t="shared" si="13"/>
        <v>-0.43168237061998438</v>
      </c>
      <c r="K85" s="53">
        <v>850</v>
      </c>
      <c r="L85" s="14">
        <f t="shared" si="14"/>
        <v>10200</v>
      </c>
    </row>
    <row r="86" spans="1:12" x14ac:dyDescent="0.3">
      <c r="B86" s="10" t="s">
        <v>44</v>
      </c>
      <c r="C86" s="11">
        <v>82.5</v>
      </c>
      <c r="D86" s="49">
        <f t="shared" si="11"/>
        <v>-0.79793939393939395</v>
      </c>
      <c r="E86" s="11">
        <v>16.670000000000002</v>
      </c>
      <c r="F86" s="49" t="s">
        <v>170</v>
      </c>
      <c r="G86" s="11">
        <v>0</v>
      </c>
      <c r="H86" s="11">
        <v>0</v>
      </c>
      <c r="I86" s="11">
        <v>0</v>
      </c>
      <c r="J86" s="55" t="s">
        <v>170</v>
      </c>
      <c r="K86" s="53" t="s">
        <v>170</v>
      </c>
      <c r="L86" s="14" t="s">
        <v>170</v>
      </c>
    </row>
    <row r="87" spans="1:12" x14ac:dyDescent="0.3">
      <c r="B87" s="10" t="s">
        <v>45</v>
      </c>
      <c r="C87" s="11">
        <v>48.17</v>
      </c>
      <c r="D87" s="49">
        <f t="shared" si="11"/>
        <v>0.17998754411459417</v>
      </c>
      <c r="E87" s="11">
        <v>56.84</v>
      </c>
      <c r="F87" s="49">
        <f t="shared" si="12"/>
        <v>0.44090136054421769</v>
      </c>
      <c r="G87" s="11">
        <v>127.55200000000001</v>
      </c>
      <c r="H87" s="11">
        <v>49.292857142857137</v>
      </c>
      <c r="I87" s="11">
        <v>81.900833333333338</v>
      </c>
      <c r="J87" s="55">
        <f t="shared" si="13"/>
        <v>0.22098879742778352</v>
      </c>
      <c r="K87" s="53">
        <v>100</v>
      </c>
      <c r="L87" s="14">
        <f t="shared" si="14"/>
        <v>1200</v>
      </c>
    </row>
    <row r="88" spans="1:12" x14ac:dyDescent="0.3">
      <c r="B88" s="10" t="s">
        <v>46</v>
      </c>
      <c r="C88" s="11">
        <v>643.5</v>
      </c>
      <c r="D88" s="49">
        <f t="shared" si="11"/>
        <v>-0.28270396270396275</v>
      </c>
      <c r="E88" s="11">
        <v>461.58</v>
      </c>
      <c r="F88" s="49">
        <f t="shared" si="12"/>
        <v>0.62212400883920482</v>
      </c>
      <c r="G88" s="11">
        <v>1447.7760000000001</v>
      </c>
      <c r="H88" s="11">
        <v>249.42857142857142</v>
      </c>
      <c r="I88" s="11">
        <v>748.74000000000012</v>
      </c>
      <c r="J88" s="55">
        <f t="shared" si="13"/>
        <v>-0.53254801399684815</v>
      </c>
      <c r="K88" s="53">
        <v>350</v>
      </c>
      <c r="L88" s="14">
        <f t="shared" si="14"/>
        <v>4200</v>
      </c>
    </row>
    <row r="89" spans="1:12" x14ac:dyDescent="0.3">
      <c r="B89" s="10" t="s">
        <v>47</v>
      </c>
      <c r="C89" s="11">
        <v>0</v>
      </c>
      <c r="D89" s="49" t="s">
        <v>170</v>
      </c>
      <c r="E89" s="11">
        <v>456.34</v>
      </c>
      <c r="F89" s="49">
        <f t="shared" si="12"/>
        <v>-0.13209449094973041</v>
      </c>
      <c r="G89" s="11">
        <v>673.84400000000005</v>
      </c>
      <c r="H89" s="11">
        <v>197.64285714285714</v>
      </c>
      <c r="I89" s="11">
        <v>396.06</v>
      </c>
      <c r="J89" s="55">
        <f t="shared" si="13"/>
        <v>0</v>
      </c>
      <c r="K89" s="53">
        <v>396.06</v>
      </c>
      <c r="L89" s="14">
        <f t="shared" si="14"/>
        <v>4752.72</v>
      </c>
    </row>
    <row r="90" spans="1:12" x14ac:dyDescent="0.3">
      <c r="B90" s="10" t="s">
        <v>48</v>
      </c>
      <c r="C90" s="11">
        <v>2711.24</v>
      </c>
      <c r="D90" s="49">
        <f t="shared" si="11"/>
        <v>-1.6752482259040004E-2</v>
      </c>
      <c r="E90" s="11">
        <v>2665.82</v>
      </c>
      <c r="F90" s="49">
        <f t="shared" si="12"/>
        <v>5.9614865219707304E-2</v>
      </c>
      <c r="G90" s="11">
        <v>2787.3820000000001</v>
      </c>
      <c r="H90" s="11">
        <v>2851.4285714285716</v>
      </c>
      <c r="I90" s="11">
        <v>2824.7425000000003</v>
      </c>
      <c r="J90" s="55">
        <f t="shared" si="13"/>
        <v>5.0000000000000031E-2</v>
      </c>
      <c r="K90" s="53">
        <v>2965.9796250000004</v>
      </c>
      <c r="L90" s="14">
        <f t="shared" si="14"/>
        <v>35591.755500000007</v>
      </c>
    </row>
    <row r="91" spans="1:12" x14ac:dyDescent="0.3">
      <c r="B91" s="38" t="s">
        <v>49</v>
      </c>
      <c r="C91" s="11">
        <v>0</v>
      </c>
      <c r="D91" s="49" t="s">
        <v>170</v>
      </c>
      <c r="E91" s="11">
        <v>0</v>
      </c>
      <c r="F91" s="49" t="s">
        <v>170</v>
      </c>
      <c r="G91" s="11">
        <v>0</v>
      </c>
      <c r="H91" s="11">
        <v>20.511428571428571</v>
      </c>
      <c r="I91" s="11">
        <v>11.964999999999998</v>
      </c>
      <c r="J91" s="55">
        <f t="shared" si="13"/>
        <v>0.67154199749268728</v>
      </c>
      <c r="K91" s="53">
        <v>20</v>
      </c>
      <c r="L91" s="14">
        <f t="shared" si="14"/>
        <v>240</v>
      </c>
    </row>
    <row r="92" spans="1:12" x14ac:dyDescent="0.3">
      <c r="B92" s="38" t="s">
        <v>50</v>
      </c>
      <c r="C92" s="11">
        <v>0</v>
      </c>
      <c r="D92" s="49" t="s">
        <v>170</v>
      </c>
      <c r="E92" s="11">
        <v>83.33</v>
      </c>
      <c r="F92" s="49">
        <f t="shared" si="12"/>
        <v>-0.22722908916356657</v>
      </c>
      <c r="G92" s="11">
        <v>95</v>
      </c>
      <c r="H92" s="11">
        <v>42.534285714285716</v>
      </c>
      <c r="I92" s="11">
        <v>64.394999999999996</v>
      </c>
      <c r="J92" s="55">
        <f t="shared" si="13"/>
        <v>0.55291559903719245</v>
      </c>
      <c r="K92" s="53">
        <v>100</v>
      </c>
      <c r="L92" s="14">
        <f t="shared" si="14"/>
        <v>1200</v>
      </c>
    </row>
    <row r="93" spans="1:12" x14ac:dyDescent="0.3">
      <c r="B93" s="38" t="s">
        <v>51</v>
      </c>
      <c r="C93" s="11">
        <v>67.56</v>
      </c>
      <c r="D93" s="49">
        <f t="shared" si="11"/>
        <v>-3.3491711071640022</v>
      </c>
      <c r="E93" s="11">
        <v>-158.71</v>
      </c>
      <c r="F93" s="49">
        <f t="shared" si="12"/>
        <v>-0.50629029886795618</v>
      </c>
      <c r="G93" s="11">
        <v>-165.226</v>
      </c>
      <c r="H93" s="11">
        <v>-16.307142857142857</v>
      </c>
      <c r="I93" s="11">
        <v>-78.356666666666683</v>
      </c>
      <c r="J93" s="55" t="s">
        <v>170</v>
      </c>
      <c r="K93" s="53" t="s">
        <v>170</v>
      </c>
      <c r="L93" s="14" t="s">
        <v>170</v>
      </c>
    </row>
    <row r="94" spans="1:12" x14ac:dyDescent="0.3">
      <c r="B94" s="38" t="s">
        <v>52</v>
      </c>
      <c r="C94" s="11">
        <v>2895.13</v>
      </c>
      <c r="D94" s="49">
        <f t="shared" si="11"/>
        <v>-0.10194015467353801</v>
      </c>
      <c r="E94" s="11">
        <v>2600</v>
      </c>
      <c r="F94" s="49">
        <f t="shared" si="12"/>
        <v>6.9615384615384621E-2</v>
      </c>
      <c r="G94" s="11">
        <v>2781</v>
      </c>
      <c r="H94" s="11">
        <v>2781</v>
      </c>
      <c r="I94" s="11">
        <v>2781</v>
      </c>
      <c r="J94" s="55">
        <f t="shared" si="13"/>
        <v>3.9999999999999925E-2</v>
      </c>
      <c r="K94" s="53">
        <v>2892.24</v>
      </c>
      <c r="L94" s="14">
        <f t="shared" si="14"/>
        <v>34706.879999999997</v>
      </c>
    </row>
    <row r="95" spans="1:12" x14ac:dyDescent="0.3">
      <c r="B95" s="38" t="s">
        <v>53</v>
      </c>
      <c r="C95" s="11">
        <v>198.04</v>
      </c>
      <c r="D95" s="49">
        <f t="shared" si="11"/>
        <v>0.14779842456069486</v>
      </c>
      <c r="E95" s="11">
        <v>227.31</v>
      </c>
      <c r="F95" s="49">
        <f t="shared" si="12"/>
        <v>-0.72764799906148725</v>
      </c>
      <c r="G95" s="11">
        <v>36.6</v>
      </c>
      <c r="H95" s="11">
        <v>79.98571428571428</v>
      </c>
      <c r="I95" s="11">
        <v>61.908333333333331</v>
      </c>
      <c r="J95" s="55">
        <f t="shared" si="13"/>
        <v>8.6917485529680985</v>
      </c>
      <c r="K95" s="53">
        <v>600</v>
      </c>
      <c r="L95" s="14">
        <f t="shared" si="14"/>
        <v>7200</v>
      </c>
    </row>
    <row r="96" spans="1:12" x14ac:dyDescent="0.3">
      <c r="B96" s="38" t="s">
        <v>54</v>
      </c>
      <c r="C96" s="11">
        <v>138.01</v>
      </c>
      <c r="D96" s="49" t="s">
        <v>170</v>
      </c>
      <c r="E96" s="11">
        <v>0</v>
      </c>
      <c r="F96" s="49" t="s">
        <v>170</v>
      </c>
      <c r="G96" s="11">
        <v>0</v>
      </c>
      <c r="H96" s="11">
        <v>0</v>
      </c>
      <c r="I96" s="11">
        <v>0</v>
      </c>
      <c r="J96" s="55" t="s">
        <v>170</v>
      </c>
      <c r="K96" s="53" t="s">
        <v>170</v>
      </c>
      <c r="L96" s="14" t="s">
        <v>170</v>
      </c>
    </row>
    <row r="97" spans="2:12" x14ac:dyDescent="0.3">
      <c r="B97" s="38" t="s">
        <v>55</v>
      </c>
      <c r="C97" s="11">
        <v>125</v>
      </c>
      <c r="D97" s="49">
        <f t="shared" si="11"/>
        <v>1.4</v>
      </c>
      <c r="E97" s="11">
        <v>300</v>
      </c>
      <c r="F97" s="49">
        <f t="shared" si="12"/>
        <v>0.16541388888888889</v>
      </c>
      <c r="G97" s="11">
        <v>296.39999999999998</v>
      </c>
      <c r="H97" s="11">
        <v>387.64142857142855</v>
      </c>
      <c r="I97" s="11">
        <v>349.62416666666667</v>
      </c>
      <c r="J97" s="55">
        <f t="shared" si="13"/>
        <v>3.9999999999999952E-2</v>
      </c>
      <c r="K97" s="53">
        <v>363.60913333333332</v>
      </c>
      <c r="L97" s="14">
        <f t="shared" si="14"/>
        <v>4363.3095999999996</v>
      </c>
    </row>
    <row r="98" spans="2:12" x14ac:dyDescent="0.3">
      <c r="B98" s="38" t="s">
        <v>56</v>
      </c>
      <c r="C98" s="11">
        <v>6591.67</v>
      </c>
      <c r="D98" s="49">
        <f t="shared" si="11"/>
        <v>0.526042717551091</v>
      </c>
      <c r="E98" s="11">
        <v>10059.17</v>
      </c>
      <c r="F98" s="49">
        <f t="shared" si="12"/>
        <v>-0.26932341336313037</v>
      </c>
      <c r="G98" s="11">
        <v>10080</v>
      </c>
      <c r="H98" s="11">
        <v>5400</v>
      </c>
      <c r="I98" s="11">
        <v>7350</v>
      </c>
      <c r="J98" s="55" t="s">
        <v>170</v>
      </c>
      <c r="K98" s="53" t="s">
        <v>170</v>
      </c>
      <c r="L98" s="14" t="s">
        <v>170</v>
      </c>
    </row>
    <row r="99" spans="2:12" x14ac:dyDescent="0.3">
      <c r="B99" s="10" t="s">
        <v>57</v>
      </c>
      <c r="C99" s="11">
        <v>587.5</v>
      </c>
      <c r="D99" s="49">
        <f t="shared" si="11"/>
        <v>-0.58864680851063833</v>
      </c>
      <c r="E99" s="11">
        <v>241.67</v>
      </c>
      <c r="F99" s="49">
        <f t="shared" si="12"/>
        <v>-0.86207086798802768</v>
      </c>
      <c r="G99" s="11">
        <v>0</v>
      </c>
      <c r="H99" s="11">
        <v>57.142857142857146</v>
      </c>
      <c r="I99" s="11">
        <v>33.333333333333336</v>
      </c>
      <c r="J99" s="55">
        <f t="shared" si="13"/>
        <v>4.000000000000007E-2</v>
      </c>
      <c r="K99" s="53">
        <v>34.666666666666671</v>
      </c>
      <c r="L99" s="14">
        <f t="shared" si="14"/>
        <v>416.00000000000006</v>
      </c>
    </row>
    <row r="100" spans="2:12" x14ac:dyDescent="0.3">
      <c r="B100" s="38" t="s">
        <v>58</v>
      </c>
      <c r="C100" s="11">
        <v>335.08</v>
      </c>
      <c r="D100" s="49">
        <f t="shared" si="11"/>
        <v>-1</v>
      </c>
      <c r="E100" s="11">
        <v>0</v>
      </c>
      <c r="F100" s="49" t="s">
        <v>170</v>
      </c>
      <c r="G100" s="11">
        <v>0</v>
      </c>
      <c r="H100" s="11">
        <v>192.72571428571428</v>
      </c>
      <c r="I100" s="11">
        <v>112.42333333333333</v>
      </c>
      <c r="J100" s="55" t="s">
        <v>170</v>
      </c>
      <c r="K100" s="53" t="s">
        <v>170</v>
      </c>
      <c r="L100" s="14" t="s">
        <v>170</v>
      </c>
    </row>
    <row r="101" spans="2:12" x14ac:dyDescent="0.3">
      <c r="B101" s="38" t="s">
        <v>59</v>
      </c>
      <c r="C101" s="11">
        <v>62.83</v>
      </c>
      <c r="D101" s="49">
        <f t="shared" si="11"/>
        <v>2.2341238261976764</v>
      </c>
      <c r="E101" s="11">
        <v>203.2</v>
      </c>
      <c r="F101" s="49">
        <f t="shared" si="12"/>
        <v>2.6613435039370086</v>
      </c>
      <c r="G101" s="11">
        <v>150</v>
      </c>
      <c r="H101" s="11">
        <v>1168.26</v>
      </c>
      <c r="I101" s="11">
        <v>743.98500000000001</v>
      </c>
      <c r="J101" s="55">
        <f t="shared" si="13"/>
        <v>1.4866092730364187</v>
      </c>
      <c r="K101" s="53">
        <v>1850</v>
      </c>
      <c r="L101" s="14">
        <f t="shared" si="14"/>
        <v>22200</v>
      </c>
    </row>
    <row r="102" spans="2:12" x14ac:dyDescent="0.3">
      <c r="B102" s="38" t="s">
        <v>60</v>
      </c>
      <c r="C102" s="11">
        <v>106.2</v>
      </c>
      <c r="D102" s="49">
        <f t="shared" si="11"/>
        <v>1.94180790960452</v>
      </c>
      <c r="E102" s="11">
        <v>312.42</v>
      </c>
      <c r="F102" s="49">
        <f t="shared" si="12"/>
        <v>1.900409171414549</v>
      </c>
      <c r="G102" s="11">
        <v>983.39599999999996</v>
      </c>
      <c r="H102" s="11">
        <v>765.19428571428568</v>
      </c>
      <c r="I102" s="11">
        <v>906.14583333333337</v>
      </c>
      <c r="J102" s="55" t="s">
        <v>170</v>
      </c>
      <c r="K102" s="53" t="s">
        <v>170</v>
      </c>
      <c r="L102" s="14" t="s">
        <v>170</v>
      </c>
    </row>
    <row r="103" spans="2:12" x14ac:dyDescent="0.3">
      <c r="B103" s="38" t="s">
        <v>61</v>
      </c>
      <c r="C103" s="11">
        <v>10208.27</v>
      </c>
      <c r="D103" s="49">
        <f t="shared" si="11"/>
        <v>-0.70025087502583694</v>
      </c>
      <c r="E103" s="11">
        <v>3059.92</v>
      </c>
      <c r="F103" s="49">
        <f t="shared" si="12"/>
        <v>3.8665771218419617E-2</v>
      </c>
      <c r="G103" s="11">
        <v>0</v>
      </c>
      <c r="H103" s="11">
        <v>5448.4014285714284</v>
      </c>
      <c r="I103" s="11">
        <v>3178.2341666666666</v>
      </c>
      <c r="J103" s="55" t="s">
        <v>170</v>
      </c>
      <c r="K103" s="53" t="s">
        <v>170</v>
      </c>
      <c r="L103" s="14" t="s">
        <v>170</v>
      </c>
    </row>
    <row r="104" spans="2:12" x14ac:dyDescent="0.3">
      <c r="B104" s="38" t="s">
        <v>62</v>
      </c>
      <c r="C104" s="11">
        <v>0</v>
      </c>
      <c r="D104" s="49" t="s">
        <v>170</v>
      </c>
      <c r="E104" s="11"/>
      <c r="F104" s="49" t="s">
        <v>170</v>
      </c>
      <c r="G104" s="11">
        <v>0</v>
      </c>
      <c r="H104" s="11">
        <v>0</v>
      </c>
      <c r="I104" s="11">
        <v>0</v>
      </c>
      <c r="J104" s="55" t="s">
        <v>170</v>
      </c>
      <c r="K104" s="53" t="s">
        <v>170</v>
      </c>
      <c r="L104" s="14" t="s">
        <v>170</v>
      </c>
    </row>
    <row r="105" spans="2:12" x14ac:dyDescent="0.3">
      <c r="B105" s="38" t="s">
        <v>63</v>
      </c>
      <c r="C105" s="11">
        <v>162.25</v>
      </c>
      <c r="D105" s="49">
        <f t="shared" si="11"/>
        <v>0.7332511556240372</v>
      </c>
      <c r="E105" s="11">
        <v>281.22000000000003</v>
      </c>
      <c r="F105" s="49">
        <f t="shared" si="12"/>
        <v>-0.17256951852642077</v>
      </c>
      <c r="G105" s="11">
        <v>342.22</v>
      </c>
      <c r="H105" s="11">
        <v>154.4542857142857</v>
      </c>
      <c r="I105" s="11">
        <v>232.68999999999997</v>
      </c>
      <c r="J105" s="55">
        <f t="shared" si="13"/>
        <v>0</v>
      </c>
      <c r="K105" s="53">
        <v>232.68999999999997</v>
      </c>
      <c r="L105" s="14">
        <f t="shared" si="14"/>
        <v>2792.2799999999997</v>
      </c>
    </row>
    <row r="106" spans="2:12" x14ac:dyDescent="0.3">
      <c r="B106" s="38" t="s">
        <v>64</v>
      </c>
      <c r="C106" s="11">
        <v>141.97999999999999</v>
      </c>
      <c r="D106" s="49">
        <f t="shared" si="11"/>
        <v>-1.8312438371600995E-3</v>
      </c>
      <c r="E106" s="11">
        <v>141.72</v>
      </c>
      <c r="F106" s="49">
        <f t="shared" si="12"/>
        <v>1.6881879762912874E-2</v>
      </c>
      <c r="G106" s="11">
        <v>236.268</v>
      </c>
      <c r="H106" s="11">
        <v>78.287142857142854</v>
      </c>
      <c r="I106" s="11">
        <v>144.11250000000001</v>
      </c>
      <c r="J106" s="55">
        <f t="shared" si="13"/>
        <v>0</v>
      </c>
      <c r="K106" s="53">
        <v>144.11250000000001</v>
      </c>
      <c r="L106" s="14">
        <f t="shared" si="14"/>
        <v>1729.3500000000001</v>
      </c>
    </row>
    <row r="107" spans="2:12" x14ac:dyDescent="0.3">
      <c r="B107" s="38" t="s">
        <v>65</v>
      </c>
      <c r="C107" s="11">
        <v>0</v>
      </c>
      <c r="D107" s="49" t="s">
        <v>170</v>
      </c>
      <c r="E107" s="11">
        <v>398.33</v>
      </c>
      <c r="F107" s="49">
        <f t="shared" si="12"/>
        <v>6.3481744617109772</v>
      </c>
      <c r="G107" s="11">
        <v>0</v>
      </c>
      <c r="H107" s="11">
        <v>5017.7114285714288</v>
      </c>
      <c r="I107" s="11">
        <v>2926.9983333333334</v>
      </c>
      <c r="J107" s="55" t="s">
        <v>170</v>
      </c>
      <c r="K107" s="53" t="s">
        <v>170</v>
      </c>
      <c r="L107" s="14" t="s">
        <v>170</v>
      </c>
    </row>
    <row r="108" spans="2:12" x14ac:dyDescent="0.3">
      <c r="B108" s="38" t="s">
        <v>66</v>
      </c>
      <c r="C108" s="11">
        <v>0</v>
      </c>
      <c r="D108" s="49" t="s">
        <v>170</v>
      </c>
      <c r="E108" s="11">
        <v>0</v>
      </c>
      <c r="F108" s="49" t="s">
        <v>170</v>
      </c>
      <c r="G108" s="11">
        <v>0</v>
      </c>
      <c r="H108" s="11">
        <v>104.28571428571429</v>
      </c>
      <c r="I108" s="11">
        <v>60.833333333333336</v>
      </c>
      <c r="J108" s="55">
        <f t="shared" si="13"/>
        <v>9.8575342465753349E-2</v>
      </c>
      <c r="K108" s="53">
        <v>66.83</v>
      </c>
      <c r="L108" s="14">
        <f t="shared" si="14"/>
        <v>801.96</v>
      </c>
    </row>
    <row r="109" spans="2:12" x14ac:dyDescent="0.3">
      <c r="B109" s="10" t="s">
        <v>67</v>
      </c>
      <c r="C109" s="11">
        <v>0</v>
      </c>
      <c r="D109" s="49" t="s">
        <v>170</v>
      </c>
      <c r="E109" s="11">
        <v>0</v>
      </c>
      <c r="F109" s="49" t="s">
        <v>170</v>
      </c>
      <c r="G109" s="11">
        <v>0</v>
      </c>
      <c r="H109" s="11">
        <v>231.84428571428569</v>
      </c>
      <c r="I109" s="11">
        <v>135.24249999999998</v>
      </c>
      <c r="J109" s="55">
        <f t="shared" si="13"/>
        <v>5.2850065622862648</v>
      </c>
      <c r="K109" s="53">
        <v>850</v>
      </c>
      <c r="L109" s="14">
        <f t="shared" si="14"/>
        <v>10200</v>
      </c>
    </row>
    <row r="110" spans="2:12" ht="15.75" thickBot="1" x14ac:dyDescent="0.35">
      <c r="B110" s="10" t="s">
        <v>68</v>
      </c>
      <c r="C110" s="11">
        <v>120.98</v>
      </c>
      <c r="D110" s="49">
        <f t="shared" si="11"/>
        <v>2.2889733840304181</v>
      </c>
      <c r="E110" s="11">
        <v>397.9</v>
      </c>
      <c r="F110" s="49">
        <f t="shared" si="12"/>
        <v>-0.21516084443327443</v>
      </c>
      <c r="G110" s="11">
        <v>416.38</v>
      </c>
      <c r="H110" s="11">
        <v>237.93142857142857</v>
      </c>
      <c r="I110" s="11">
        <v>312.28750000000008</v>
      </c>
      <c r="J110" s="55">
        <f t="shared" si="13"/>
        <v>0.13456350318216359</v>
      </c>
      <c r="K110" s="53">
        <v>354.31</v>
      </c>
      <c r="L110" s="14">
        <f>K110*12</f>
        <v>4251.72</v>
      </c>
    </row>
    <row r="111" spans="2:12" ht="17.25" thickBot="1" x14ac:dyDescent="0.35">
      <c r="B111" s="58" t="s">
        <v>179</v>
      </c>
      <c r="C111" s="59">
        <f>SUM(C63:C110)</f>
        <v>57141.56</v>
      </c>
      <c r="D111" s="60">
        <f t="shared" si="11"/>
        <v>4.2377211962710539E-3</v>
      </c>
      <c r="E111" s="59">
        <f>SUM(E63:E110)</f>
        <v>57383.709999999992</v>
      </c>
      <c r="F111" s="60">
        <f t="shared" si="12"/>
        <v>0.14416292242752102</v>
      </c>
      <c r="G111" s="59">
        <f>SUM(G63:G110)</f>
        <v>59826.617999999995</v>
      </c>
      <c r="H111" s="59">
        <f>SUM(H63:H110)</f>
        <v>69734.604285714289</v>
      </c>
      <c r="I111" s="59">
        <f>SUM(I63:I110)</f>
        <v>65656.313333333354</v>
      </c>
      <c r="J111" s="63">
        <f>(K111-I111)/I111</f>
        <v>-0.1975287730644236</v>
      </c>
      <c r="K111" s="59">
        <f>SUM(K63:K110)</f>
        <v>52687.302316666661</v>
      </c>
      <c r="L111" s="62">
        <f>K111*12</f>
        <v>632247.6277999999</v>
      </c>
    </row>
    <row r="112" spans="2:12" ht="15.6" customHeight="1" thickBot="1" x14ac:dyDescent="0.35">
      <c r="B112" s="144" t="s">
        <v>69</v>
      </c>
      <c r="C112" s="146">
        <v>2023</v>
      </c>
      <c r="D112" s="148" t="s">
        <v>186</v>
      </c>
      <c r="E112" s="150">
        <v>2024</v>
      </c>
      <c r="F112" s="148" t="s">
        <v>185</v>
      </c>
      <c r="G112" s="152">
        <v>2025</v>
      </c>
      <c r="H112" s="153"/>
      <c r="I112" s="154"/>
      <c r="J112" s="155" t="s">
        <v>184</v>
      </c>
      <c r="K112" s="142" t="s">
        <v>1</v>
      </c>
      <c r="L112" s="140" t="s">
        <v>2</v>
      </c>
    </row>
    <row r="113" spans="2:13" ht="45" x14ac:dyDescent="0.3">
      <c r="B113" s="145"/>
      <c r="C113" s="147"/>
      <c r="D113" s="149" t="s">
        <v>183</v>
      </c>
      <c r="E113" s="151"/>
      <c r="F113" s="149" t="s">
        <v>183</v>
      </c>
      <c r="G113" s="43" t="s">
        <v>3</v>
      </c>
      <c r="H113" s="43" t="s">
        <v>171</v>
      </c>
      <c r="I113" s="43" t="s">
        <v>4</v>
      </c>
      <c r="J113" s="156"/>
      <c r="K113" s="143"/>
      <c r="L113" s="141"/>
    </row>
    <row r="114" spans="2:13" x14ac:dyDescent="0.3">
      <c r="B114" s="10" t="s">
        <v>70</v>
      </c>
      <c r="C114" s="11">
        <v>2974.92</v>
      </c>
      <c r="D114" s="49">
        <f t="shared" ref="D114:D176" si="15">(E114-C114)/C114</f>
        <v>0.17973592567195076</v>
      </c>
      <c r="E114" s="11">
        <v>3509.62</v>
      </c>
      <c r="F114" s="49">
        <f t="shared" ref="F114:F176" si="16">(I114-E114)/E114</f>
        <v>0.78527257461871469</v>
      </c>
      <c r="G114" s="11">
        <v>3757.5680000000002</v>
      </c>
      <c r="H114" s="11">
        <v>8057.0999999999995</v>
      </c>
      <c r="I114" s="11">
        <v>6265.6283333333331</v>
      </c>
      <c r="J114" s="55">
        <f t="shared" ref="J114:J175" si="17">(K114-I114)/I114</f>
        <v>-4.2394524411890552E-2</v>
      </c>
      <c r="K114" s="53">
        <v>6000</v>
      </c>
      <c r="L114" s="14">
        <f t="shared" ref="L114:L171" si="18">K114*12</f>
        <v>72000</v>
      </c>
    </row>
    <row r="115" spans="2:13" x14ac:dyDescent="0.3">
      <c r="B115" s="10" t="s">
        <v>71</v>
      </c>
      <c r="C115" s="11">
        <v>66.67</v>
      </c>
      <c r="D115" s="49" t="s">
        <v>170</v>
      </c>
      <c r="E115" s="11">
        <v>0</v>
      </c>
      <c r="F115" s="49" t="s">
        <v>170</v>
      </c>
      <c r="G115" s="11">
        <v>0</v>
      </c>
      <c r="H115" s="11">
        <v>428.57142857142856</v>
      </c>
      <c r="I115" s="11">
        <v>250</v>
      </c>
      <c r="J115" s="55" t="s">
        <v>170</v>
      </c>
      <c r="K115" s="53" t="s">
        <v>170</v>
      </c>
      <c r="L115" s="14" t="s">
        <v>170</v>
      </c>
    </row>
    <row r="116" spans="2:13" x14ac:dyDescent="0.3">
      <c r="B116" s="90" t="s">
        <v>72</v>
      </c>
      <c r="C116" s="86">
        <v>4280.0200000000004</v>
      </c>
      <c r="D116" s="87">
        <f t="shared" si="15"/>
        <v>2.9840982051485585E-2</v>
      </c>
      <c r="E116" s="86">
        <v>4407.74</v>
      </c>
      <c r="F116" s="87">
        <f t="shared" si="16"/>
        <v>0.30855154795881801</v>
      </c>
      <c r="G116" s="86">
        <v>1922.5</v>
      </c>
      <c r="H116" s="86">
        <v>8514.3657142857137</v>
      </c>
      <c r="I116" s="86">
        <v>5767.7550000000001</v>
      </c>
      <c r="J116" s="88">
        <f t="shared" si="17"/>
        <v>2.7276201919117575</v>
      </c>
      <c r="K116" s="91">
        <v>21500</v>
      </c>
      <c r="L116" s="89">
        <f t="shared" si="18"/>
        <v>258000</v>
      </c>
      <c r="M116" s="103"/>
    </row>
    <row r="117" spans="2:13" x14ac:dyDescent="0.3">
      <c r="B117" s="38" t="s">
        <v>73</v>
      </c>
      <c r="C117" s="11">
        <v>933.73</v>
      </c>
      <c r="D117" s="49">
        <f t="shared" si="15"/>
        <v>4.1358529767705869</v>
      </c>
      <c r="E117" s="11">
        <v>4795.5</v>
      </c>
      <c r="F117" s="49">
        <f t="shared" si="16"/>
        <v>-6.1122058874639576E-2</v>
      </c>
      <c r="G117" s="11">
        <v>3297.8380000000002</v>
      </c>
      <c r="H117" s="11">
        <v>5362.7828571428563</v>
      </c>
      <c r="I117" s="11">
        <v>4502.3891666666659</v>
      </c>
      <c r="J117" s="55">
        <f t="shared" si="17"/>
        <v>-0.52247575222562381</v>
      </c>
      <c r="K117" s="53">
        <v>2150</v>
      </c>
      <c r="L117" s="14">
        <f t="shared" si="18"/>
        <v>25800</v>
      </c>
    </row>
    <row r="118" spans="2:13" x14ac:dyDescent="0.3">
      <c r="B118" s="10" t="s">
        <v>74</v>
      </c>
      <c r="C118" s="11">
        <v>392.69</v>
      </c>
      <c r="D118" s="49">
        <f t="shared" si="15"/>
        <v>-0.69724209936591208</v>
      </c>
      <c r="E118" s="11">
        <v>118.89</v>
      </c>
      <c r="F118" s="49">
        <f t="shared" si="16"/>
        <v>-0.45184624442762217</v>
      </c>
      <c r="G118" s="11">
        <v>0</v>
      </c>
      <c r="H118" s="11">
        <v>111.72000000000001</v>
      </c>
      <c r="I118" s="11">
        <v>65.17</v>
      </c>
      <c r="J118" s="55">
        <f t="shared" si="17"/>
        <v>4.1999999999999947E-2</v>
      </c>
      <c r="K118" s="53">
        <v>67.907139999999998</v>
      </c>
      <c r="L118" s="14">
        <f t="shared" si="18"/>
        <v>814.88567999999998</v>
      </c>
    </row>
    <row r="119" spans="2:13" x14ac:dyDescent="0.3">
      <c r="B119" s="10" t="s">
        <v>75</v>
      </c>
      <c r="C119" s="11">
        <v>0</v>
      </c>
      <c r="D119" s="49" t="s">
        <v>170</v>
      </c>
      <c r="E119" s="11">
        <v>0</v>
      </c>
      <c r="F119" s="49" t="s">
        <v>170</v>
      </c>
      <c r="G119" s="11">
        <v>0</v>
      </c>
      <c r="H119" s="11">
        <v>247.14285714285714</v>
      </c>
      <c r="I119" s="11">
        <v>144.16666666666666</v>
      </c>
      <c r="J119" s="55">
        <f t="shared" si="17"/>
        <v>4.0000000000000098E-2</v>
      </c>
      <c r="K119" s="53">
        <v>149.93333333333334</v>
      </c>
      <c r="L119" s="14">
        <f t="shared" si="18"/>
        <v>1799.2</v>
      </c>
    </row>
    <row r="120" spans="2:13" x14ac:dyDescent="0.3">
      <c r="B120" s="10" t="s">
        <v>76</v>
      </c>
      <c r="C120" s="11">
        <v>558.44000000000005</v>
      </c>
      <c r="D120" s="49">
        <f t="shared" si="15"/>
        <v>0.77344029797292446</v>
      </c>
      <c r="E120" s="11">
        <v>990.36</v>
      </c>
      <c r="F120" s="49">
        <f t="shared" si="16"/>
        <v>1.0171385489451694E-2</v>
      </c>
      <c r="G120" s="11">
        <v>330.52</v>
      </c>
      <c r="H120" s="11">
        <v>1478.9428571428568</v>
      </c>
      <c r="I120" s="11">
        <v>1000.4333333333334</v>
      </c>
      <c r="J120" s="55">
        <f t="shared" si="17"/>
        <v>0.99913370872621854</v>
      </c>
      <c r="K120" s="53">
        <v>2000</v>
      </c>
      <c r="L120" s="14">
        <f t="shared" si="18"/>
        <v>24000</v>
      </c>
    </row>
    <row r="121" spans="2:13" x14ac:dyDescent="0.3">
      <c r="B121" s="10" t="s">
        <v>77</v>
      </c>
      <c r="C121" s="11">
        <v>0</v>
      </c>
      <c r="D121" s="49" t="s">
        <v>170</v>
      </c>
      <c r="E121" s="11">
        <v>927.92</v>
      </c>
      <c r="F121" s="49" t="s">
        <v>170</v>
      </c>
      <c r="G121" s="11">
        <v>0</v>
      </c>
      <c r="H121" s="11">
        <v>0</v>
      </c>
      <c r="I121" s="11">
        <v>0</v>
      </c>
      <c r="J121" s="55" t="s">
        <v>170</v>
      </c>
      <c r="K121" s="53" t="s">
        <v>170</v>
      </c>
      <c r="L121" s="14" t="s">
        <v>170</v>
      </c>
    </row>
    <row r="122" spans="2:13" x14ac:dyDescent="0.3">
      <c r="B122" s="10" t="s">
        <v>78</v>
      </c>
      <c r="C122" s="11">
        <v>37.83</v>
      </c>
      <c r="D122" s="49">
        <f t="shared" si="15"/>
        <v>-1</v>
      </c>
      <c r="E122" s="11">
        <v>0</v>
      </c>
      <c r="F122" s="49" t="s">
        <v>170</v>
      </c>
      <c r="G122" s="11">
        <v>0</v>
      </c>
      <c r="H122" s="11">
        <v>69.142857142857139</v>
      </c>
      <c r="I122" s="11">
        <v>40.333333333333336</v>
      </c>
      <c r="J122" s="55">
        <f t="shared" si="17"/>
        <v>1.4793388429752066</v>
      </c>
      <c r="K122" s="53">
        <v>100</v>
      </c>
      <c r="L122" s="14">
        <f t="shared" si="18"/>
        <v>1200</v>
      </c>
    </row>
    <row r="123" spans="2:13" x14ac:dyDescent="0.3">
      <c r="B123" s="10" t="s">
        <v>79</v>
      </c>
      <c r="C123" s="11">
        <v>0</v>
      </c>
      <c r="D123" s="49" t="s">
        <v>170</v>
      </c>
      <c r="E123" s="11">
        <v>0</v>
      </c>
      <c r="F123" s="49" t="s">
        <v>170</v>
      </c>
      <c r="G123" s="11">
        <v>0</v>
      </c>
      <c r="H123" s="11">
        <v>154</v>
      </c>
      <c r="I123" s="11">
        <v>89.833333333333329</v>
      </c>
      <c r="J123" s="55">
        <f t="shared" si="17"/>
        <v>-1</v>
      </c>
      <c r="K123" s="53">
        <v>0</v>
      </c>
      <c r="L123" s="14">
        <f t="shared" si="18"/>
        <v>0</v>
      </c>
    </row>
    <row r="124" spans="2:13" x14ac:dyDescent="0.3">
      <c r="B124" s="38" t="s">
        <v>80</v>
      </c>
      <c r="C124" s="11">
        <v>86.08</v>
      </c>
      <c r="D124" s="49">
        <f t="shared" si="15"/>
        <v>-0.66310408921933084</v>
      </c>
      <c r="E124" s="11">
        <v>29</v>
      </c>
      <c r="F124" s="49">
        <f t="shared" si="16"/>
        <v>142.14672413793105</v>
      </c>
      <c r="G124" s="11">
        <v>197</v>
      </c>
      <c r="H124" s="11">
        <v>6975.7228571428568</v>
      </c>
      <c r="I124" s="11">
        <v>4151.2550000000001</v>
      </c>
      <c r="J124" s="55">
        <f t="shared" si="17"/>
        <v>-0.87955449617043524</v>
      </c>
      <c r="K124" s="53">
        <v>500</v>
      </c>
      <c r="L124" s="14">
        <f t="shared" si="18"/>
        <v>6000</v>
      </c>
    </row>
    <row r="125" spans="2:13" x14ac:dyDescent="0.3">
      <c r="B125" s="10" t="s">
        <v>81</v>
      </c>
      <c r="C125" s="11">
        <v>135.83000000000001</v>
      </c>
      <c r="D125" s="49" t="s">
        <v>170</v>
      </c>
      <c r="E125" s="11">
        <v>0</v>
      </c>
      <c r="F125" s="49" t="s">
        <v>170</v>
      </c>
      <c r="G125" s="11">
        <v>0</v>
      </c>
      <c r="H125" s="11">
        <v>0</v>
      </c>
      <c r="I125" s="11">
        <v>0</v>
      </c>
      <c r="J125" s="55" t="s">
        <v>170</v>
      </c>
      <c r="K125" s="53" t="s">
        <v>170</v>
      </c>
      <c r="L125" s="14" t="s">
        <v>170</v>
      </c>
    </row>
    <row r="126" spans="2:13" x14ac:dyDescent="0.3">
      <c r="B126" s="10" t="s">
        <v>82</v>
      </c>
      <c r="C126" s="11">
        <v>343.95</v>
      </c>
      <c r="D126" s="49">
        <f t="shared" si="15"/>
        <v>-0.57019915685419387</v>
      </c>
      <c r="E126" s="11">
        <v>147.83000000000001</v>
      </c>
      <c r="F126" s="49">
        <f t="shared" si="16"/>
        <v>1.0594038197028115</v>
      </c>
      <c r="G126" s="11">
        <v>48.82</v>
      </c>
      <c r="H126" s="11">
        <v>487.02857142857141</v>
      </c>
      <c r="I126" s="11">
        <v>304.44166666666666</v>
      </c>
      <c r="J126" s="55">
        <f t="shared" si="17"/>
        <v>0.64235075137546882</v>
      </c>
      <c r="K126" s="53">
        <v>500</v>
      </c>
      <c r="L126" s="14">
        <f t="shared" si="18"/>
        <v>6000</v>
      </c>
    </row>
    <row r="127" spans="2:13" x14ac:dyDescent="0.3">
      <c r="B127" s="10" t="s">
        <v>83</v>
      </c>
      <c r="C127" s="11">
        <v>215</v>
      </c>
      <c r="D127" s="49" t="s">
        <v>170</v>
      </c>
      <c r="E127" s="11">
        <v>0</v>
      </c>
      <c r="F127" s="49" t="s">
        <v>170</v>
      </c>
      <c r="G127" s="11">
        <v>0</v>
      </c>
      <c r="H127" s="11">
        <v>542.85714285714289</v>
      </c>
      <c r="I127" s="11">
        <v>316.66666666666669</v>
      </c>
      <c r="J127" s="55" t="s">
        <v>170</v>
      </c>
      <c r="K127" s="53" t="s">
        <v>170</v>
      </c>
      <c r="L127" s="14" t="s">
        <v>170</v>
      </c>
    </row>
    <row r="128" spans="2:13" x14ac:dyDescent="0.3">
      <c r="B128" s="10" t="s">
        <v>84</v>
      </c>
      <c r="C128" s="11">
        <v>104.17</v>
      </c>
      <c r="D128" s="49" t="s">
        <v>170</v>
      </c>
      <c r="E128" s="11">
        <v>0</v>
      </c>
      <c r="F128" s="49" t="s">
        <v>170</v>
      </c>
      <c r="G128" s="11">
        <v>0</v>
      </c>
      <c r="H128" s="11">
        <v>0</v>
      </c>
      <c r="I128" s="11">
        <v>0</v>
      </c>
      <c r="J128" s="55" t="s">
        <v>170</v>
      </c>
      <c r="K128" s="53" t="s">
        <v>170</v>
      </c>
      <c r="L128" s="14" t="s">
        <v>170</v>
      </c>
    </row>
    <row r="129" spans="2:12" x14ac:dyDescent="0.3">
      <c r="B129" s="10" t="s">
        <v>85</v>
      </c>
      <c r="C129" s="11">
        <v>12.5</v>
      </c>
      <c r="D129" s="49" t="s">
        <v>170</v>
      </c>
      <c r="E129" s="11">
        <v>0</v>
      </c>
      <c r="F129" s="49" t="s">
        <v>170</v>
      </c>
      <c r="G129" s="11">
        <v>5</v>
      </c>
      <c r="H129" s="11">
        <v>0</v>
      </c>
      <c r="I129" s="11">
        <v>2.0833333333333335</v>
      </c>
      <c r="J129" s="55" t="s">
        <v>170</v>
      </c>
      <c r="K129" s="53" t="s">
        <v>170</v>
      </c>
      <c r="L129" s="14" t="s">
        <v>170</v>
      </c>
    </row>
    <row r="130" spans="2:12" x14ac:dyDescent="0.3">
      <c r="B130" s="10" t="s">
        <v>86</v>
      </c>
      <c r="C130" s="11">
        <v>333.33</v>
      </c>
      <c r="D130" s="49" t="s">
        <v>170</v>
      </c>
      <c r="E130" s="11">
        <v>0</v>
      </c>
      <c r="F130" s="49" t="s">
        <v>170</v>
      </c>
      <c r="G130" s="11">
        <v>0</v>
      </c>
      <c r="H130" s="11">
        <v>0</v>
      </c>
      <c r="I130" s="11">
        <v>0</v>
      </c>
      <c r="J130" s="55" t="s">
        <v>170</v>
      </c>
      <c r="K130" s="53" t="s">
        <v>170</v>
      </c>
      <c r="L130" s="14" t="s">
        <v>170</v>
      </c>
    </row>
    <row r="131" spans="2:12" x14ac:dyDescent="0.3">
      <c r="B131" s="38" t="s">
        <v>87</v>
      </c>
      <c r="C131" s="11">
        <v>558.75</v>
      </c>
      <c r="D131" s="49">
        <f t="shared" si="15"/>
        <v>4.290201342281879</v>
      </c>
      <c r="E131" s="11">
        <v>2955.9</v>
      </c>
      <c r="F131" s="49">
        <f t="shared" si="16"/>
        <v>0.66899139573959399</v>
      </c>
      <c r="G131" s="11">
        <v>4105.3739999999998</v>
      </c>
      <c r="H131" s="11">
        <v>5524.7985714285724</v>
      </c>
      <c r="I131" s="11">
        <v>4933.371666666666</v>
      </c>
      <c r="J131" s="55">
        <f t="shared" si="17"/>
        <v>4.0000000000000084E-2</v>
      </c>
      <c r="K131" s="53">
        <v>5130.706533333333</v>
      </c>
      <c r="L131" s="14">
        <f t="shared" si="18"/>
        <v>61568.478399999993</v>
      </c>
    </row>
    <row r="132" spans="2:12" x14ac:dyDescent="0.3">
      <c r="B132" s="10" t="s">
        <v>88</v>
      </c>
      <c r="C132" s="11">
        <v>120.8</v>
      </c>
      <c r="D132" s="49">
        <f t="shared" si="15"/>
        <v>-0.99172185430463577</v>
      </c>
      <c r="E132" s="11">
        <v>1</v>
      </c>
      <c r="F132" s="49">
        <f t="shared" si="16"/>
        <v>12.741666666666667</v>
      </c>
      <c r="G132" s="11">
        <v>24</v>
      </c>
      <c r="H132" s="11">
        <v>6.4142857142857137</v>
      </c>
      <c r="I132" s="11">
        <v>13.741666666666667</v>
      </c>
      <c r="J132" s="55">
        <f t="shared" si="17"/>
        <v>0.81928441479684655</v>
      </c>
      <c r="K132" s="53">
        <v>25</v>
      </c>
      <c r="L132" s="14">
        <f t="shared" si="18"/>
        <v>300</v>
      </c>
    </row>
    <row r="133" spans="2:12" x14ac:dyDescent="0.3">
      <c r="B133" s="10" t="s">
        <v>89</v>
      </c>
      <c r="C133" s="11">
        <v>2574.2399999999998</v>
      </c>
      <c r="D133" s="49">
        <f t="shared" si="15"/>
        <v>-0.30843278016035797</v>
      </c>
      <c r="E133" s="11">
        <v>1780.26</v>
      </c>
      <c r="F133" s="49">
        <f t="shared" si="16"/>
        <v>0.26380790820816413</v>
      </c>
      <c r="G133" s="11">
        <v>1959.3040000000001</v>
      </c>
      <c r="H133" s="11">
        <v>2457.48</v>
      </c>
      <c r="I133" s="11">
        <v>2249.9066666666663</v>
      </c>
      <c r="J133" s="55">
        <f t="shared" si="17"/>
        <v>4.1999999999999961E-2</v>
      </c>
      <c r="K133" s="53">
        <v>2344.4027466666662</v>
      </c>
      <c r="L133" s="14">
        <f t="shared" si="18"/>
        <v>28132.832959999992</v>
      </c>
    </row>
    <row r="134" spans="2:12" x14ac:dyDescent="0.3">
      <c r="B134" s="38" t="s">
        <v>90</v>
      </c>
      <c r="C134" s="11">
        <v>341.67</v>
      </c>
      <c r="D134" s="49">
        <f t="shared" si="15"/>
        <v>6.4633418210554039</v>
      </c>
      <c r="E134" s="11">
        <v>2550</v>
      </c>
      <c r="F134" s="49">
        <f t="shared" si="16"/>
        <v>4.738562091503274E-2</v>
      </c>
      <c r="G134" s="11">
        <v>4380</v>
      </c>
      <c r="H134" s="11">
        <v>1450</v>
      </c>
      <c r="I134" s="11">
        <v>2670.8333333333335</v>
      </c>
      <c r="J134" s="55">
        <f t="shared" si="17"/>
        <v>-1</v>
      </c>
      <c r="K134" s="53">
        <v>0</v>
      </c>
      <c r="L134" s="14">
        <f t="shared" si="18"/>
        <v>0</v>
      </c>
    </row>
    <row r="135" spans="2:12" x14ac:dyDescent="0.3">
      <c r="B135" s="10" t="s">
        <v>91</v>
      </c>
      <c r="C135" s="11">
        <v>96.67</v>
      </c>
      <c r="D135" s="49">
        <f t="shared" si="15"/>
        <v>1.172338884866039</v>
      </c>
      <c r="E135" s="11">
        <v>210</v>
      </c>
      <c r="F135" s="49">
        <f t="shared" si="16"/>
        <v>3.4431349206349209</v>
      </c>
      <c r="G135" s="11">
        <v>416.00799999999998</v>
      </c>
      <c r="H135" s="11">
        <v>1302.3799999999999</v>
      </c>
      <c r="I135" s="11">
        <v>933.05833333333339</v>
      </c>
      <c r="J135" s="55">
        <f t="shared" si="17"/>
        <v>-0.94641278233765302</v>
      </c>
      <c r="K135" s="53">
        <v>50</v>
      </c>
      <c r="L135" s="14">
        <f t="shared" si="18"/>
        <v>600</v>
      </c>
    </row>
    <row r="136" spans="2:12" x14ac:dyDescent="0.3">
      <c r="B136" s="10" t="s">
        <v>92</v>
      </c>
      <c r="C136" s="11">
        <v>829.17</v>
      </c>
      <c r="D136" s="49">
        <f t="shared" si="15"/>
        <v>1.296477200091658</v>
      </c>
      <c r="E136" s="11">
        <v>1904.17</v>
      </c>
      <c r="F136" s="49">
        <f t="shared" si="16"/>
        <v>-0.77483628037412622</v>
      </c>
      <c r="G136" s="11">
        <v>1029</v>
      </c>
      <c r="H136" s="11">
        <v>0</v>
      </c>
      <c r="I136" s="11">
        <v>428.75</v>
      </c>
      <c r="J136" s="55">
        <f t="shared" si="17"/>
        <v>-1</v>
      </c>
      <c r="K136" s="53">
        <v>0</v>
      </c>
      <c r="L136" s="14">
        <f t="shared" si="18"/>
        <v>0</v>
      </c>
    </row>
    <row r="137" spans="2:12" x14ac:dyDescent="0.3">
      <c r="B137" s="10" t="s">
        <v>93</v>
      </c>
      <c r="C137" s="11">
        <v>208.33</v>
      </c>
      <c r="D137" s="49">
        <f t="shared" si="15"/>
        <v>-0.87999807996927948</v>
      </c>
      <c r="E137" s="11">
        <v>25</v>
      </c>
      <c r="F137" s="49">
        <f t="shared" si="16"/>
        <v>7.4</v>
      </c>
      <c r="G137" s="11">
        <v>84</v>
      </c>
      <c r="H137" s="11">
        <v>300</v>
      </c>
      <c r="I137" s="11">
        <v>210</v>
      </c>
      <c r="J137" s="55">
        <f t="shared" si="17"/>
        <v>8.5238095238095237</v>
      </c>
      <c r="K137" s="53">
        <v>2000</v>
      </c>
      <c r="L137" s="14">
        <f t="shared" si="18"/>
        <v>24000</v>
      </c>
    </row>
    <row r="138" spans="2:12" x14ac:dyDescent="0.3">
      <c r="B138" s="10" t="s">
        <v>94</v>
      </c>
      <c r="C138" s="11">
        <v>0</v>
      </c>
      <c r="D138" s="49" t="s">
        <v>170</v>
      </c>
      <c r="E138" s="11">
        <v>0</v>
      </c>
      <c r="F138" s="49" t="s">
        <v>170</v>
      </c>
      <c r="G138" s="11">
        <v>15</v>
      </c>
      <c r="H138" s="11">
        <v>0</v>
      </c>
      <c r="I138" s="11">
        <v>6.25</v>
      </c>
      <c r="J138" s="55">
        <f t="shared" si="17"/>
        <v>-1</v>
      </c>
      <c r="K138" s="53">
        <v>0</v>
      </c>
      <c r="L138" s="14">
        <f t="shared" si="18"/>
        <v>0</v>
      </c>
    </row>
    <row r="139" spans="2:12" x14ac:dyDescent="0.3">
      <c r="B139" s="38" t="s">
        <v>95</v>
      </c>
      <c r="C139" s="11">
        <v>10.98</v>
      </c>
      <c r="D139" s="49">
        <f t="shared" si="15"/>
        <v>2.2349726775956285</v>
      </c>
      <c r="E139" s="11">
        <v>35.520000000000003</v>
      </c>
      <c r="F139" s="49">
        <f t="shared" si="16"/>
        <v>0.26008821321321307</v>
      </c>
      <c r="G139" s="11">
        <v>34.86</v>
      </c>
      <c r="H139" s="11">
        <v>51.828571428571429</v>
      </c>
      <c r="I139" s="11">
        <v>44.758333333333333</v>
      </c>
      <c r="J139" s="55">
        <f t="shared" si="17"/>
        <v>0.34053248929435859</v>
      </c>
      <c r="K139" s="53">
        <v>60</v>
      </c>
      <c r="L139" s="14">
        <f t="shared" si="18"/>
        <v>720</v>
      </c>
    </row>
    <row r="140" spans="2:12" x14ac:dyDescent="0.3">
      <c r="B140" s="38" t="s">
        <v>96</v>
      </c>
      <c r="C140" s="11">
        <v>0</v>
      </c>
      <c r="D140" s="49" t="s">
        <v>170</v>
      </c>
      <c r="E140" s="11">
        <v>225</v>
      </c>
      <c r="F140" s="49" t="s">
        <v>170</v>
      </c>
      <c r="G140" s="11">
        <v>0</v>
      </c>
      <c r="H140" s="11">
        <v>0</v>
      </c>
      <c r="I140" s="11">
        <v>0</v>
      </c>
      <c r="J140" s="55" t="s">
        <v>170</v>
      </c>
      <c r="K140" s="53" t="s">
        <v>170</v>
      </c>
      <c r="L140" s="14" t="s">
        <v>170</v>
      </c>
    </row>
    <row r="141" spans="2:12" x14ac:dyDescent="0.3">
      <c r="B141" s="10" t="s">
        <v>97</v>
      </c>
      <c r="C141" s="11">
        <v>0</v>
      </c>
      <c r="D141" s="49" t="s">
        <v>170</v>
      </c>
      <c r="E141" s="11">
        <v>165</v>
      </c>
      <c r="F141" s="49" t="s">
        <v>170</v>
      </c>
      <c r="G141" s="11">
        <v>0</v>
      </c>
      <c r="H141" s="11">
        <v>0</v>
      </c>
      <c r="I141" s="11">
        <v>0</v>
      </c>
      <c r="J141" s="55" t="s">
        <v>170</v>
      </c>
      <c r="K141" s="53" t="s">
        <v>170</v>
      </c>
      <c r="L141" s="14" t="s">
        <v>170</v>
      </c>
    </row>
    <row r="142" spans="2:12" x14ac:dyDescent="0.3">
      <c r="B142" s="10" t="s">
        <v>98</v>
      </c>
      <c r="C142" s="11">
        <v>291.57</v>
      </c>
      <c r="D142" s="49">
        <f t="shared" si="15"/>
        <v>1.4128339678293378</v>
      </c>
      <c r="E142" s="11">
        <v>703.51</v>
      </c>
      <c r="F142" s="49">
        <f t="shared" si="16"/>
        <v>-0.25538490331812391</v>
      </c>
      <c r="G142" s="11">
        <v>135.892</v>
      </c>
      <c r="H142" s="11">
        <v>800.95285714285717</v>
      </c>
      <c r="I142" s="11">
        <v>523.84416666666664</v>
      </c>
      <c r="J142" s="55">
        <f t="shared" si="17"/>
        <v>-0.42731060286694672</v>
      </c>
      <c r="K142" s="53">
        <v>300</v>
      </c>
      <c r="L142" s="14">
        <f t="shared" si="18"/>
        <v>3600</v>
      </c>
    </row>
    <row r="143" spans="2:12" x14ac:dyDescent="0.3">
      <c r="B143" s="38" t="s">
        <v>99</v>
      </c>
      <c r="C143" s="11">
        <v>175.83</v>
      </c>
      <c r="D143" s="49">
        <f t="shared" si="15"/>
        <v>8.2108855144173347</v>
      </c>
      <c r="E143" s="11">
        <v>1619.55</v>
      </c>
      <c r="F143" s="49">
        <f t="shared" si="16"/>
        <v>0.51540551387731171</v>
      </c>
      <c r="G143" s="11">
        <v>2531.38</v>
      </c>
      <c r="H143" s="11">
        <v>2399.2000000000003</v>
      </c>
      <c r="I143" s="11">
        <v>2454.2750000000001</v>
      </c>
      <c r="J143" s="55">
        <f t="shared" si="17"/>
        <v>-0.31564311252813976</v>
      </c>
      <c r="K143" s="53">
        <v>1679.6</v>
      </c>
      <c r="L143" s="14">
        <f t="shared" si="18"/>
        <v>20155.199999999997</v>
      </c>
    </row>
    <row r="144" spans="2:12" x14ac:dyDescent="0.3">
      <c r="B144" s="10" t="s">
        <v>100</v>
      </c>
      <c r="C144" s="11">
        <v>270.24</v>
      </c>
      <c r="D144" s="49" t="s">
        <v>170</v>
      </c>
      <c r="E144" s="11">
        <v>0</v>
      </c>
      <c r="F144" s="49" t="s">
        <v>170</v>
      </c>
      <c r="G144" s="11">
        <v>0</v>
      </c>
      <c r="H144" s="11">
        <v>0</v>
      </c>
      <c r="I144" s="11">
        <v>0</v>
      </c>
      <c r="J144" s="55" t="s">
        <v>170</v>
      </c>
      <c r="K144" s="53" t="s">
        <v>170</v>
      </c>
      <c r="L144" s="14" t="s">
        <v>170</v>
      </c>
    </row>
    <row r="145" spans="2:13" x14ac:dyDescent="0.3">
      <c r="B145" s="38" t="s">
        <v>101</v>
      </c>
      <c r="C145" s="11">
        <v>2414.8000000000002</v>
      </c>
      <c r="D145" s="49">
        <f t="shared" si="15"/>
        <v>-0.30941278780851417</v>
      </c>
      <c r="E145" s="11">
        <v>1667.63</v>
      </c>
      <c r="F145" s="49">
        <f t="shared" si="16"/>
        <v>1.6861554021775411</v>
      </c>
      <c r="G145" s="11">
        <v>7399.8040000000001</v>
      </c>
      <c r="H145" s="11">
        <v>2393.5914285714284</v>
      </c>
      <c r="I145" s="11">
        <v>4479.5133333333333</v>
      </c>
      <c r="J145" s="55">
        <f t="shared" si="17"/>
        <v>-0.77676146367090471</v>
      </c>
      <c r="K145" s="53">
        <v>1000</v>
      </c>
      <c r="L145" s="14">
        <f t="shared" si="18"/>
        <v>12000</v>
      </c>
    </row>
    <row r="146" spans="2:13" x14ac:dyDescent="0.3">
      <c r="B146" s="38" t="s">
        <v>102</v>
      </c>
      <c r="C146" s="11">
        <v>5552.47</v>
      </c>
      <c r="D146" s="49">
        <f t="shared" si="15"/>
        <v>-0.32467532467532473</v>
      </c>
      <c r="E146" s="11">
        <v>3749.72</v>
      </c>
      <c r="F146" s="49">
        <f t="shared" si="16"/>
        <v>-0.23263914816750747</v>
      </c>
      <c r="G146" s="11">
        <v>3985.732</v>
      </c>
      <c r="H146" s="11">
        <v>2085.7142857142858</v>
      </c>
      <c r="I146" s="11">
        <v>2877.3883333333338</v>
      </c>
      <c r="J146" s="55">
        <f t="shared" si="17"/>
        <v>-0.65246262090680618</v>
      </c>
      <c r="K146" s="53">
        <v>1000</v>
      </c>
      <c r="L146" s="14">
        <f t="shared" si="18"/>
        <v>12000</v>
      </c>
    </row>
    <row r="147" spans="2:13" x14ac:dyDescent="0.3">
      <c r="B147" s="10" t="s">
        <v>103</v>
      </c>
      <c r="C147" s="11">
        <v>303.60000000000002</v>
      </c>
      <c r="D147" s="49">
        <f t="shared" si="15"/>
        <v>-0.78274044795783937</v>
      </c>
      <c r="E147" s="11">
        <v>65.959999999999994</v>
      </c>
      <c r="F147" s="49">
        <f t="shared" si="16"/>
        <v>24.433217101273502</v>
      </c>
      <c r="G147" s="11">
        <v>0</v>
      </c>
      <c r="H147" s="11">
        <v>2875.8428571428572</v>
      </c>
      <c r="I147" s="11">
        <v>1677.575</v>
      </c>
      <c r="J147" s="55">
        <f t="shared" si="17"/>
        <v>1.2651744333338302</v>
      </c>
      <c r="K147" s="53">
        <v>3800</v>
      </c>
      <c r="L147" s="14">
        <f t="shared" si="18"/>
        <v>45600</v>
      </c>
    </row>
    <row r="148" spans="2:13" x14ac:dyDescent="0.3">
      <c r="B148" s="38" t="s">
        <v>104</v>
      </c>
      <c r="C148" s="11">
        <v>305.83</v>
      </c>
      <c r="D148" s="49">
        <f t="shared" si="15"/>
        <v>7.0206650753686697</v>
      </c>
      <c r="E148" s="11">
        <v>2452.96</v>
      </c>
      <c r="F148" s="49">
        <f t="shared" si="16"/>
        <v>0.38772136520774886</v>
      </c>
      <c r="G148" s="11">
        <v>8169.66</v>
      </c>
      <c r="H148" s="11">
        <v>0</v>
      </c>
      <c r="I148" s="11">
        <v>3404.0249999999996</v>
      </c>
      <c r="J148" s="55" t="s">
        <v>170</v>
      </c>
      <c r="K148" s="53" t="s">
        <v>170</v>
      </c>
      <c r="L148" s="14" t="s">
        <v>170</v>
      </c>
    </row>
    <row r="149" spans="2:13" x14ac:dyDescent="0.3">
      <c r="B149" s="90" t="s">
        <v>105</v>
      </c>
      <c r="C149" s="86">
        <v>0</v>
      </c>
      <c r="D149" s="87" t="s">
        <v>170</v>
      </c>
      <c r="E149" s="86">
        <v>14200</v>
      </c>
      <c r="F149" s="87">
        <f t="shared" si="16"/>
        <v>0.91359953051643172</v>
      </c>
      <c r="G149" s="86">
        <v>6664</v>
      </c>
      <c r="H149" s="86">
        <v>41822.479999999996</v>
      </c>
      <c r="I149" s="86">
        <v>27173.113333333331</v>
      </c>
      <c r="J149" s="88">
        <f t="shared" si="17"/>
        <v>0.28803790609688462</v>
      </c>
      <c r="K149" s="91">
        <v>35000</v>
      </c>
      <c r="L149" s="89">
        <f t="shared" si="18"/>
        <v>420000</v>
      </c>
      <c r="M149" s="103"/>
    </row>
    <row r="150" spans="2:13" x14ac:dyDescent="0.3">
      <c r="B150" s="38" t="s">
        <v>106</v>
      </c>
      <c r="C150" s="11">
        <v>125.2</v>
      </c>
      <c r="D150" s="49">
        <f t="shared" si="15"/>
        <v>6.0219648562300314</v>
      </c>
      <c r="E150" s="11">
        <v>879.15</v>
      </c>
      <c r="F150" s="49">
        <f t="shared" si="16"/>
        <v>2.0067186107793518</v>
      </c>
      <c r="G150" s="11">
        <v>6029.116</v>
      </c>
      <c r="H150" s="11">
        <v>224.95714285714286</v>
      </c>
      <c r="I150" s="11">
        <v>2643.356666666667</v>
      </c>
      <c r="J150" s="55">
        <f t="shared" si="17"/>
        <v>-0.90542328125729032</v>
      </c>
      <c r="K150" s="53">
        <v>250</v>
      </c>
      <c r="L150" s="14">
        <f t="shared" si="18"/>
        <v>3000</v>
      </c>
    </row>
    <row r="151" spans="2:13" x14ac:dyDescent="0.3">
      <c r="B151" s="38" t="s">
        <v>107</v>
      </c>
      <c r="C151" s="11">
        <v>216.36</v>
      </c>
      <c r="D151" s="49">
        <f t="shared" si="15"/>
        <v>-0.93067110371602879</v>
      </c>
      <c r="E151" s="11">
        <v>15</v>
      </c>
      <c r="F151" s="49">
        <f t="shared" si="16"/>
        <v>33.631499999999996</v>
      </c>
      <c r="G151" s="11">
        <v>152.078</v>
      </c>
      <c r="H151" s="11">
        <v>781.89714285714297</v>
      </c>
      <c r="I151" s="11">
        <v>519.47249999999997</v>
      </c>
      <c r="J151" s="55">
        <f t="shared" si="17"/>
        <v>-0.51874257058843343</v>
      </c>
      <c r="K151" s="53">
        <v>250</v>
      </c>
      <c r="L151" s="14">
        <f t="shared" si="18"/>
        <v>3000</v>
      </c>
    </row>
    <row r="152" spans="2:13" x14ac:dyDescent="0.3">
      <c r="B152" s="38" t="s">
        <v>108</v>
      </c>
      <c r="C152" s="11">
        <v>775</v>
      </c>
      <c r="D152" s="49">
        <f t="shared" si="15"/>
        <v>1.0935483870967742</v>
      </c>
      <c r="E152" s="11">
        <v>1622.5</v>
      </c>
      <c r="F152" s="49">
        <f t="shared" si="16"/>
        <v>0.97146635850025664</v>
      </c>
      <c r="G152" s="11">
        <v>1729.6</v>
      </c>
      <c r="H152" s="11">
        <v>4248.0642857142857</v>
      </c>
      <c r="I152" s="11">
        <v>3198.7041666666664</v>
      </c>
      <c r="J152" s="55">
        <f t="shared" si="17"/>
        <v>0.8444969251871528</v>
      </c>
      <c r="K152" s="53">
        <v>5900</v>
      </c>
      <c r="L152" s="14">
        <f t="shared" si="18"/>
        <v>70800</v>
      </c>
    </row>
    <row r="153" spans="2:13" x14ac:dyDescent="0.3">
      <c r="B153" s="10" t="s">
        <v>109</v>
      </c>
      <c r="C153" s="11">
        <v>145</v>
      </c>
      <c r="D153" s="49">
        <f t="shared" si="15"/>
        <v>0.16551724137931034</v>
      </c>
      <c r="E153" s="11">
        <v>169</v>
      </c>
      <c r="F153" s="49">
        <f t="shared" si="16"/>
        <v>1.3328402366863905</v>
      </c>
      <c r="G153" s="11">
        <v>364.2</v>
      </c>
      <c r="H153" s="11">
        <v>415.71428571428572</v>
      </c>
      <c r="I153" s="11">
        <v>394.25</v>
      </c>
      <c r="J153" s="55">
        <f t="shared" si="17"/>
        <v>3.9999999999999952E-2</v>
      </c>
      <c r="K153" s="53">
        <v>410.02</v>
      </c>
      <c r="L153" s="14">
        <f t="shared" si="18"/>
        <v>4920.24</v>
      </c>
    </row>
    <row r="154" spans="2:13" x14ac:dyDescent="0.3">
      <c r="B154" s="10" t="s">
        <v>110</v>
      </c>
      <c r="C154" s="11">
        <v>0</v>
      </c>
      <c r="D154" s="49" t="s">
        <v>170</v>
      </c>
      <c r="E154" s="11">
        <v>77.5</v>
      </c>
      <c r="F154" s="49" t="s">
        <v>170</v>
      </c>
      <c r="G154" s="11">
        <v>0</v>
      </c>
      <c r="H154" s="11">
        <v>0</v>
      </c>
      <c r="I154" s="11">
        <v>0</v>
      </c>
      <c r="J154" s="55" t="s">
        <v>170</v>
      </c>
      <c r="K154" s="53" t="s">
        <v>170</v>
      </c>
      <c r="L154" s="14" t="s">
        <v>170</v>
      </c>
    </row>
    <row r="155" spans="2:13" x14ac:dyDescent="0.3">
      <c r="B155" s="10" t="s">
        <v>111</v>
      </c>
      <c r="C155" s="11">
        <v>51.25</v>
      </c>
      <c r="D155" s="49">
        <f t="shared" si="15"/>
        <v>-0.10575609756097565</v>
      </c>
      <c r="E155" s="11">
        <v>45.83</v>
      </c>
      <c r="F155" s="49" t="s">
        <v>170</v>
      </c>
      <c r="G155" s="11">
        <v>0</v>
      </c>
      <c r="H155" s="11">
        <v>512.85714285714289</v>
      </c>
      <c r="I155" s="11">
        <v>299.16666666666669</v>
      </c>
      <c r="J155" s="55">
        <f t="shared" si="17"/>
        <v>3.9999999999999911E-2</v>
      </c>
      <c r="K155" s="53">
        <v>311.13333333333333</v>
      </c>
      <c r="L155" s="14">
        <f t="shared" si="18"/>
        <v>3733.6</v>
      </c>
    </row>
    <row r="156" spans="2:13" x14ac:dyDescent="0.3">
      <c r="B156" s="10" t="s">
        <v>112</v>
      </c>
      <c r="C156" s="11">
        <v>0</v>
      </c>
      <c r="D156" s="49" t="s">
        <v>170</v>
      </c>
      <c r="E156" s="11">
        <v>79.349999999999994</v>
      </c>
      <c r="F156" s="49" t="s">
        <v>170</v>
      </c>
      <c r="G156" s="11">
        <v>0</v>
      </c>
      <c r="H156" s="11">
        <v>405.52428571428572</v>
      </c>
      <c r="I156" s="11">
        <v>236.55583333333334</v>
      </c>
      <c r="J156" s="55" t="s">
        <v>170</v>
      </c>
      <c r="K156" s="53" t="s">
        <v>170</v>
      </c>
      <c r="L156" s="14" t="s">
        <v>170</v>
      </c>
    </row>
    <row r="157" spans="2:13" x14ac:dyDescent="0.3">
      <c r="B157" s="10" t="s">
        <v>113</v>
      </c>
      <c r="C157" s="11">
        <v>86.62</v>
      </c>
      <c r="D157" s="49">
        <f t="shared" si="15"/>
        <v>0.69776033248672353</v>
      </c>
      <c r="E157" s="11">
        <v>147.06</v>
      </c>
      <c r="F157" s="49" t="s">
        <v>170</v>
      </c>
      <c r="G157" s="11">
        <v>0</v>
      </c>
      <c r="H157" s="11">
        <v>43.571428571428569</v>
      </c>
      <c r="I157" s="11">
        <v>25.416666666666668</v>
      </c>
      <c r="J157" s="55">
        <f t="shared" si="17"/>
        <v>4.1999999999999961E-2</v>
      </c>
      <c r="K157" s="53">
        <v>26.484166666666667</v>
      </c>
      <c r="L157" s="14">
        <f t="shared" si="18"/>
        <v>317.81</v>
      </c>
    </row>
    <row r="158" spans="2:13" x14ac:dyDescent="0.3">
      <c r="B158" s="10" t="s">
        <v>114</v>
      </c>
      <c r="C158" s="11">
        <v>36.67</v>
      </c>
      <c r="D158" s="49">
        <f t="shared" si="15"/>
        <v>5.5298609217343868</v>
      </c>
      <c r="E158" s="11">
        <v>239.45</v>
      </c>
      <c r="F158" s="49">
        <f t="shared" si="16"/>
        <v>-0.18261293241456111</v>
      </c>
      <c r="G158" s="11">
        <v>334.34399999999999</v>
      </c>
      <c r="H158" s="11">
        <v>96.708571428571432</v>
      </c>
      <c r="I158" s="11">
        <v>195.72333333333333</v>
      </c>
      <c r="J158" s="55">
        <f t="shared" si="17"/>
        <v>-0.50588415620689065</v>
      </c>
      <c r="K158" s="53">
        <v>96.71</v>
      </c>
      <c r="L158" s="14">
        <f t="shared" si="18"/>
        <v>1160.52</v>
      </c>
    </row>
    <row r="159" spans="2:13" x14ac:dyDescent="0.3">
      <c r="B159" s="10" t="s">
        <v>115</v>
      </c>
      <c r="C159" s="11">
        <v>0</v>
      </c>
      <c r="D159" s="49" t="s">
        <v>170</v>
      </c>
      <c r="E159" s="11">
        <v>3.09</v>
      </c>
      <c r="F159" s="49">
        <f t="shared" si="16"/>
        <v>-1</v>
      </c>
      <c r="G159" s="11">
        <v>0</v>
      </c>
      <c r="H159" s="11">
        <v>0</v>
      </c>
      <c r="I159" s="11">
        <v>0</v>
      </c>
      <c r="J159" s="55" t="s">
        <v>170</v>
      </c>
      <c r="K159" s="53" t="s">
        <v>170</v>
      </c>
      <c r="L159" s="14" t="s">
        <v>170</v>
      </c>
    </row>
    <row r="160" spans="2:13" x14ac:dyDescent="0.3">
      <c r="B160" s="10" t="s">
        <v>116</v>
      </c>
      <c r="C160" s="11">
        <v>35.42</v>
      </c>
      <c r="D160" s="49">
        <f t="shared" si="15"/>
        <v>-1</v>
      </c>
      <c r="E160" s="11">
        <v>0</v>
      </c>
      <c r="F160" s="49" t="s">
        <v>170</v>
      </c>
      <c r="G160" s="11">
        <v>0</v>
      </c>
      <c r="H160" s="11">
        <v>0</v>
      </c>
      <c r="I160" s="11">
        <v>0</v>
      </c>
      <c r="J160" s="55" t="s">
        <v>170</v>
      </c>
      <c r="K160" s="53" t="s">
        <v>170</v>
      </c>
      <c r="L160" s="14" t="s">
        <v>170</v>
      </c>
    </row>
    <row r="161" spans="2:12" x14ac:dyDescent="0.3">
      <c r="B161" s="10" t="s">
        <v>117</v>
      </c>
      <c r="C161" s="11">
        <v>0</v>
      </c>
      <c r="D161" s="49" t="s">
        <v>170</v>
      </c>
      <c r="E161" s="11">
        <v>41.67</v>
      </c>
      <c r="F161" s="49" t="s">
        <v>170</v>
      </c>
      <c r="G161" s="11">
        <v>0</v>
      </c>
      <c r="H161" s="11">
        <v>0</v>
      </c>
      <c r="I161" s="11">
        <v>0</v>
      </c>
      <c r="J161" s="55" t="s">
        <v>170</v>
      </c>
      <c r="K161" s="53" t="s">
        <v>170</v>
      </c>
      <c r="L161" s="14" t="s">
        <v>170</v>
      </c>
    </row>
    <row r="162" spans="2:12" x14ac:dyDescent="0.3">
      <c r="B162" s="10" t="s">
        <v>118</v>
      </c>
      <c r="C162" s="11">
        <v>0</v>
      </c>
      <c r="D162" s="49" t="s">
        <v>170</v>
      </c>
      <c r="E162" s="11">
        <v>1264.73</v>
      </c>
      <c r="F162" s="49" t="s">
        <v>170</v>
      </c>
      <c r="G162" s="11">
        <v>0</v>
      </c>
      <c r="H162" s="11">
        <v>0</v>
      </c>
      <c r="I162" s="11">
        <v>0</v>
      </c>
      <c r="J162" s="55" t="s">
        <v>170</v>
      </c>
      <c r="K162" s="53" t="s">
        <v>170</v>
      </c>
      <c r="L162" s="14" t="s">
        <v>170</v>
      </c>
    </row>
    <row r="163" spans="2:12" x14ac:dyDescent="0.3">
      <c r="B163" s="10" t="s">
        <v>119</v>
      </c>
      <c r="C163" s="11">
        <v>166.67</v>
      </c>
      <c r="D163" s="49">
        <f t="shared" si="15"/>
        <v>-0.51250974980500386</v>
      </c>
      <c r="E163" s="11">
        <v>81.25</v>
      </c>
      <c r="F163" s="49" t="s">
        <v>170</v>
      </c>
      <c r="G163" s="11">
        <v>0</v>
      </c>
      <c r="H163" s="11">
        <v>0</v>
      </c>
      <c r="I163" s="11">
        <v>0</v>
      </c>
      <c r="J163" s="55" t="s">
        <v>170</v>
      </c>
      <c r="K163" s="53" t="s">
        <v>170</v>
      </c>
      <c r="L163" s="14" t="s">
        <v>170</v>
      </c>
    </row>
    <row r="164" spans="2:12" x14ac:dyDescent="0.3">
      <c r="B164" s="10" t="s">
        <v>120</v>
      </c>
      <c r="C164" s="11">
        <v>74.58</v>
      </c>
      <c r="D164" s="49">
        <f t="shared" si="15"/>
        <v>-9.0506838294448916E-2</v>
      </c>
      <c r="E164" s="11">
        <v>67.83</v>
      </c>
      <c r="F164" s="49">
        <f t="shared" si="16"/>
        <v>-6.9978868740478595E-2</v>
      </c>
      <c r="G164" s="11">
        <v>0</v>
      </c>
      <c r="H164" s="11">
        <v>108.14285714285714</v>
      </c>
      <c r="I164" s="11">
        <v>63.083333333333336</v>
      </c>
      <c r="J164" s="55">
        <f t="shared" si="17"/>
        <v>4.199999999999994E-2</v>
      </c>
      <c r="K164" s="53">
        <v>65.732833333333332</v>
      </c>
      <c r="L164" s="14">
        <f t="shared" si="18"/>
        <v>788.79399999999998</v>
      </c>
    </row>
    <row r="165" spans="2:12" x14ac:dyDescent="0.3">
      <c r="B165" s="10" t="s">
        <v>121</v>
      </c>
      <c r="C165" s="11">
        <v>167.36</v>
      </c>
      <c r="D165" s="49">
        <f t="shared" si="15"/>
        <v>-5.132648183556407E-2</v>
      </c>
      <c r="E165" s="11">
        <v>158.77000000000001</v>
      </c>
      <c r="F165" s="49">
        <f t="shared" si="16"/>
        <v>1.7346948415947596</v>
      </c>
      <c r="G165" s="11">
        <v>470</v>
      </c>
      <c r="H165" s="11">
        <v>408.60714285714283</v>
      </c>
      <c r="I165" s="11">
        <v>434.1875</v>
      </c>
      <c r="J165" s="55">
        <f t="shared" si="17"/>
        <v>4.2000000000000051E-2</v>
      </c>
      <c r="K165" s="53">
        <v>452.42337500000002</v>
      </c>
      <c r="L165" s="14">
        <f t="shared" si="18"/>
        <v>5429.0805</v>
      </c>
    </row>
    <row r="166" spans="2:12" x14ac:dyDescent="0.3">
      <c r="B166" s="10" t="s">
        <v>122</v>
      </c>
      <c r="C166" s="11">
        <v>69.17</v>
      </c>
      <c r="D166" s="49">
        <f t="shared" si="15"/>
        <v>-0.78314298106115365</v>
      </c>
      <c r="E166" s="11">
        <v>15</v>
      </c>
      <c r="F166" s="49">
        <f t="shared" si="16"/>
        <v>2.6111111111111112</v>
      </c>
      <c r="G166" s="11">
        <v>8</v>
      </c>
      <c r="H166" s="11">
        <v>87.142857142857139</v>
      </c>
      <c r="I166" s="11">
        <v>54.166666666666664</v>
      </c>
      <c r="J166" s="55">
        <f t="shared" si="17"/>
        <v>24.039938461538458</v>
      </c>
      <c r="K166" s="53">
        <v>1356.33</v>
      </c>
      <c r="L166" s="14">
        <f t="shared" si="18"/>
        <v>16275.96</v>
      </c>
    </row>
    <row r="167" spans="2:12" x14ac:dyDescent="0.3">
      <c r="B167" s="10" t="s">
        <v>123</v>
      </c>
      <c r="C167" s="11">
        <v>0</v>
      </c>
      <c r="D167" s="49" t="s">
        <v>170</v>
      </c>
      <c r="E167" s="11">
        <v>3.46</v>
      </c>
      <c r="F167" s="49" t="s">
        <v>170</v>
      </c>
      <c r="G167" s="11">
        <v>0</v>
      </c>
      <c r="H167" s="11">
        <v>0</v>
      </c>
      <c r="I167" s="11">
        <v>0</v>
      </c>
      <c r="J167" s="55" t="s">
        <v>170</v>
      </c>
      <c r="K167" s="53" t="s">
        <v>170</v>
      </c>
      <c r="L167" s="14" t="s">
        <v>170</v>
      </c>
    </row>
    <row r="168" spans="2:12" x14ac:dyDescent="0.3">
      <c r="B168" s="10" t="s">
        <v>124</v>
      </c>
      <c r="C168" s="11">
        <v>24.17</v>
      </c>
      <c r="D168" s="49">
        <f t="shared" si="15"/>
        <v>-0.48282995448903604</v>
      </c>
      <c r="E168" s="11">
        <v>12.5</v>
      </c>
      <c r="F168" s="49" t="s">
        <v>170</v>
      </c>
      <c r="G168" s="11">
        <v>0</v>
      </c>
      <c r="H168" s="11">
        <v>0</v>
      </c>
      <c r="I168" s="11">
        <v>0</v>
      </c>
      <c r="J168" s="55" t="s">
        <v>170</v>
      </c>
      <c r="K168" s="53" t="s">
        <v>170</v>
      </c>
      <c r="L168" s="14" t="s">
        <v>170</v>
      </c>
    </row>
    <row r="169" spans="2:12" x14ac:dyDescent="0.3">
      <c r="B169" s="10" t="s">
        <v>125</v>
      </c>
      <c r="C169" s="11">
        <v>0</v>
      </c>
      <c r="D169" s="49" t="s">
        <v>170</v>
      </c>
      <c r="E169" s="11">
        <v>1366.67</v>
      </c>
      <c r="F169" s="49" t="s">
        <v>170</v>
      </c>
      <c r="G169" s="11">
        <v>0</v>
      </c>
      <c r="H169" s="11">
        <v>0</v>
      </c>
      <c r="I169" s="11">
        <v>0</v>
      </c>
      <c r="J169" s="55" t="s">
        <v>170</v>
      </c>
      <c r="K169" s="53" t="s">
        <v>170</v>
      </c>
      <c r="L169" s="14" t="s">
        <v>170</v>
      </c>
    </row>
    <row r="170" spans="2:12" x14ac:dyDescent="0.3">
      <c r="B170" s="10" t="s">
        <v>126</v>
      </c>
      <c r="C170" s="11">
        <v>27.5</v>
      </c>
      <c r="D170" s="49">
        <f t="shared" si="15"/>
        <v>-1</v>
      </c>
      <c r="E170" s="11">
        <v>0</v>
      </c>
      <c r="F170" s="49" t="s">
        <v>170</v>
      </c>
      <c r="G170" s="11">
        <v>0</v>
      </c>
      <c r="H170" s="11">
        <v>64.857142857142861</v>
      </c>
      <c r="I170" s="11">
        <v>37.833333333333336</v>
      </c>
      <c r="J170" s="55">
        <f t="shared" si="17"/>
        <v>4.1999999999999961E-2</v>
      </c>
      <c r="K170" s="53">
        <v>39.422333333333334</v>
      </c>
      <c r="L170" s="14">
        <f t="shared" si="18"/>
        <v>473.06799999999998</v>
      </c>
    </row>
    <row r="171" spans="2:12" x14ac:dyDescent="0.3">
      <c r="B171" s="10" t="s">
        <v>127</v>
      </c>
      <c r="C171" s="11">
        <v>504.68</v>
      </c>
      <c r="D171" s="49">
        <f t="shared" si="15"/>
        <v>-0.38779028295157325</v>
      </c>
      <c r="E171" s="11">
        <v>308.97000000000003</v>
      </c>
      <c r="F171" s="49">
        <f t="shared" si="16"/>
        <v>-0.77756200709885526</v>
      </c>
      <c r="G171" s="11">
        <v>0</v>
      </c>
      <c r="H171" s="11">
        <v>117.81714285714285</v>
      </c>
      <c r="I171" s="11">
        <v>68.726666666666674</v>
      </c>
      <c r="J171" s="55">
        <f t="shared" si="17"/>
        <v>1.4299156077214081</v>
      </c>
      <c r="K171" s="53">
        <v>167</v>
      </c>
      <c r="L171" s="14">
        <f t="shared" si="18"/>
        <v>2004</v>
      </c>
    </row>
    <row r="172" spans="2:12" x14ac:dyDescent="0.3">
      <c r="B172" s="10" t="s">
        <v>128</v>
      </c>
      <c r="C172" s="11">
        <v>3404</v>
      </c>
      <c r="D172" s="49">
        <f t="shared" si="15"/>
        <v>-1</v>
      </c>
      <c r="E172" s="11">
        <v>0</v>
      </c>
      <c r="F172" s="49" t="s">
        <v>170</v>
      </c>
      <c r="G172" s="11">
        <v>0</v>
      </c>
      <c r="H172" s="11">
        <v>0</v>
      </c>
      <c r="I172" s="11">
        <v>0</v>
      </c>
      <c r="J172" s="55" t="s">
        <v>170</v>
      </c>
      <c r="K172" s="53" t="s">
        <v>170</v>
      </c>
      <c r="L172" s="14" t="s">
        <v>170</v>
      </c>
    </row>
    <row r="173" spans="2:12" x14ac:dyDescent="0.3">
      <c r="B173" s="10" t="s">
        <v>129</v>
      </c>
      <c r="C173" s="11">
        <v>0</v>
      </c>
      <c r="D173" s="49" t="s">
        <v>170</v>
      </c>
      <c r="E173" s="11">
        <v>416.67</v>
      </c>
      <c r="F173" s="49" t="s">
        <v>170</v>
      </c>
      <c r="G173" s="11">
        <v>0</v>
      </c>
      <c r="H173" s="11">
        <v>0</v>
      </c>
      <c r="I173" s="11">
        <v>0</v>
      </c>
      <c r="J173" s="55" t="s">
        <v>170</v>
      </c>
      <c r="K173" s="53" t="s">
        <v>170</v>
      </c>
      <c r="L173" s="14" t="s">
        <v>170</v>
      </c>
    </row>
    <row r="174" spans="2:12" x14ac:dyDescent="0.3">
      <c r="B174" s="10" t="s">
        <v>130</v>
      </c>
      <c r="C174" s="11">
        <v>16.25</v>
      </c>
      <c r="D174" s="49" t="s">
        <v>170</v>
      </c>
      <c r="E174" s="11">
        <v>0</v>
      </c>
      <c r="F174" s="49" t="s">
        <v>170</v>
      </c>
      <c r="G174" s="11">
        <v>0</v>
      </c>
      <c r="H174" s="11">
        <v>0</v>
      </c>
      <c r="I174" s="11">
        <v>0</v>
      </c>
      <c r="J174" s="55" t="s">
        <v>170</v>
      </c>
      <c r="K174" s="53" t="s">
        <v>170</v>
      </c>
      <c r="L174" s="14" t="s">
        <v>170</v>
      </c>
    </row>
    <row r="175" spans="2:12" ht="15.75" thickBot="1" x14ac:dyDescent="0.35">
      <c r="B175" s="38" t="s">
        <v>131</v>
      </c>
      <c r="C175" s="11">
        <v>127.91</v>
      </c>
      <c r="D175" s="49">
        <f t="shared" si="15"/>
        <v>3.5319365178641231</v>
      </c>
      <c r="E175" s="11">
        <v>579.67999999999995</v>
      </c>
      <c r="F175" s="49">
        <f t="shared" si="16"/>
        <v>0.76533460989971513</v>
      </c>
      <c r="G175" s="11">
        <v>363.08</v>
      </c>
      <c r="H175" s="11">
        <v>1494.9357142857141</v>
      </c>
      <c r="I175" s="11">
        <v>1023.3291666666668</v>
      </c>
      <c r="J175" s="55">
        <f t="shared" si="17"/>
        <v>-0.41367839445600352</v>
      </c>
      <c r="K175" s="53">
        <v>600</v>
      </c>
      <c r="L175" s="14">
        <f>K175*12</f>
        <v>7200</v>
      </c>
    </row>
    <row r="176" spans="2:12" ht="17.25" thickBot="1" x14ac:dyDescent="0.35">
      <c r="B176" s="58" t="s">
        <v>180</v>
      </c>
      <c r="C176" s="59">
        <v>30583.919999999998</v>
      </c>
      <c r="D176" s="60">
        <f t="shared" si="15"/>
        <v>0.85826963973225145</v>
      </c>
      <c r="E176" s="59">
        <v>56833.17</v>
      </c>
      <c r="F176" s="60">
        <f t="shared" si="16"/>
        <v>0.51627174764314576</v>
      </c>
      <c r="G176" s="59">
        <v>59943.68</v>
      </c>
      <c r="H176" s="59">
        <v>104910.86</v>
      </c>
      <c r="I176" s="59">
        <v>86174.53</v>
      </c>
      <c r="J176" s="63">
        <f>(K176-I176)/I176</f>
        <v>0.10569568287752766</v>
      </c>
      <c r="K176" s="61">
        <f>SUM(K114:K175)</f>
        <v>95282.805794999993</v>
      </c>
      <c r="L176" s="62">
        <f>K176*12</f>
        <v>1143393.6695399999</v>
      </c>
    </row>
    <row r="177" spans="2:12" ht="15.6" customHeight="1" thickBot="1" x14ac:dyDescent="0.35">
      <c r="B177" s="144" t="s">
        <v>132</v>
      </c>
      <c r="C177" s="146">
        <v>2023</v>
      </c>
      <c r="D177" s="148" t="s">
        <v>186</v>
      </c>
      <c r="E177" s="150">
        <v>2024</v>
      </c>
      <c r="F177" s="148" t="s">
        <v>185</v>
      </c>
      <c r="G177" s="152">
        <v>2025</v>
      </c>
      <c r="H177" s="153"/>
      <c r="I177" s="154"/>
      <c r="J177" s="155" t="s">
        <v>184</v>
      </c>
      <c r="K177" s="142" t="s">
        <v>1</v>
      </c>
      <c r="L177" s="140" t="s">
        <v>2</v>
      </c>
    </row>
    <row r="178" spans="2:12" ht="45" x14ac:dyDescent="0.3">
      <c r="B178" s="145"/>
      <c r="C178" s="147"/>
      <c r="D178" s="149" t="s">
        <v>183</v>
      </c>
      <c r="E178" s="151"/>
      <c r="F178" s="149" t="s">
        <v>183</v>
      </c>
      <c r="G178" s="43" t="s">
        <v>3</v>
      </c>
      <c r="H178" s="43" t="s">
        <v>171</v>
      </c>
      <c r="I178" s="43" t="s">
        <v>4</v>
      </c>
      <c r="J178" s="156"/>
      <c r="K178" s="143"/>
      <c r="L178" s="141"/>
    </row>
    <row r="179" spans="2:12" x14ac:dyDescent="0.3">
      <c r="B179" s="10" t="s">
        <v>133</v>
      </c>
      <c r="C179" s="11">
        <v>1113.1500000000001</v>
      </c>
      <c r="D179" s="49">
        <f t="shared" ref="D179:D195" si="19">(E179-C179)/C179</f>
        <v>0.26676548533441119</v>
      </c>
      <c r="E179" s="11">
        <v>1410.1</v>
      </c>
      <c r="F179" s="49">
        <f t="shared" ref="F179:F195" si="20">(I179-E179)/E179</f>
        <v>4.8900196203579098E-2</v>
      </c>
      <c r="G179" s="11">
        <v>579.04999999999995</v>
      </c>
      <c r="H179" s="11">
        <v>2121.9142857142856</v>
      </c>
      <c r="I179" s="11">
        <v>1479.0541666666668</v>
      </c>
      <c r="J179" s="55">
        <f t="shared" ref="J179:J192" si="21">(K179-I179)/I179</f>
        <v>-0.69575150786116124</v>
      </c>
      <c r="K179" s="53">
        <v>450</v>
      </c>
      <c r="L179" s="14">
        <f>K179*12</f>
        <v>5400</v>
      </c>
    </row>
    <row r="180" spans="2:12" x14ac:dyDescent="0.3">
      <c r="B180" s="10" t="s">
        <v>134</v>
      </c>
      <c r="C180" s="11">
        <v>192.21</v>
      </c>
      <c r="D180" s="49">
        <f t="shared" si="19"/>
        <v>0.89672753758909518</v>
      </c>
      <c r="E180" s="11">
        <v>364.57</v>
      </c>
      <c r="F180" s="49">
        <f t="shared" si="20"/>
        <v>-0.50186749686845689</v>
      </c>
      <c r="G180" s="11">
        <v>244.422</v>
      </c>
      <c r="H180" s="11">
        <v>136.73428571428573</v>
      </c>
      <c r="I180" s="11">
        <v>181.60416666666666</v>
      </c>
      <c r="J180" s="55">
        <f t="shared" si="21"/>
        <v>-0.17402776184467128</v>
      </c>
      <c r="K180" s="53">
        <v>150</v>
      </c>
      <c r="L180" s="14">
        <f t="shared" ref="L180:L193" si="22">K180*12</f>
        <v>1800</v>
      </c>
    </row>
    <row r="181" spans="2:12" x14ac:dyDescent="0.3">
      <c r="B181" s="10" t="s">
        <v>135</v>
      </c>
      <c r="C181" s="11">
        <v>454.61</v>
      </c>
      <c r="D181" s="49">
        <f t="shared" si="19"/>
        <v>-0.67954950397043623</v>
      </c>
      <c r="E181" s="11">
        <v>145.68</v>
      </c>
      <c r="F181" s="49">
        <f t="shared" si="20"/>
        <v>0.64615367014460934</v>
      </c>
      <c r="G181" s="11">
        <v>575.548</v>
      </c>
      <c r="H181" s="11">
        <v>0</v>
      </c>
      <c r="I181" s="11">
        <v>239.8116666666667</v>
      </c>
      <c r="J181" s="55">
        <f t="shared" si="21"/>
        <v>0.25098167311848868</v>
      </c>
      <c r="K181" s="53">
        <v>300</v>
      </c>
      <c r="L181" s="14">
        <f t="shared" si="22"/>
        <v>3600</v>
      </c>
    </row>
    <row r="182" spans="2:12" x14ac:dyDescent="0.3">
      <c r="B182" s="10" t="s">
        <v>136</v>
      </c>
      <c r="C182" s="11">
        <v>91.83</v>
      </c>
      <c r="D182" s="49">
        <f t="shared" si="19"/>
        <v>-0.33964935206359576</v>
      </c>
      <c r="E182" s="11">
        <v>60.64</v>
      </c>
      <c r="F182" s="49">
        <f t="shared" si="20"/>
        <v>2.0270311125769571</v>
      </c>
      <c r="G182" s="11">
        <v>11</v>
      </c>
      <c r="H182" s="11">
        <v>306.81571428571431</v>
      </c>
      <c r="I182" s="11">
        <v>183.55916666666667</v>
      </c>
      <c r="J182" s="55">
        <f t="shared" si="21"/>
        <v>-0.6458907436748369</v>
      </c>
      <c r="K182" s="53">
        <v>65</v>
      </c>
      <c r="L182" s="14">
        <f t="shared" si="22"/>
        <v>780</v>
      </c>
    </row>
    <row r="183" spans="2:12" x14ac:dyDescent="0.3">
      <c r="B183" s="10" t="s">
        <v>137</v>
      </c>
      <c r="C183" s="11">
        <v>25</v>
      </c>
      <c r="D183" s="49">
        <f t="shared" si="19"/>
        <v>-0.28000000000000003</v>
      </c>
      <c r="E183" s="11">
        <v>18</v>
      </c>
      <c r="F183" s="49">
        <f t="shared" si="20"/>
        <v>-1</v>
      </c>
      <c r="G183" s="11">
        <v>0</v>
      </c>
      <c r="H183" s="11">
        <v>0</v>
      </c>
      <c r="I183" s="11">
        <v>0</v>
      </c>
      <c r="J183" s="55" t="s">
        <v>170</v>
      </c>
      <c r="K183" s="53" t="s">
        <v>170</v>
      </c>
      <c r="L183" s="14" t="s">
        <v>170</v>
      </c>
    </row>
    <row r="184" spans="2:12" x14ac:dyDescent="0.3">
      <c r="B184" s="10" t="s">
        <v>138</v>
      </c>
      <c r="C184" s="11">
        <v>224.99</v>
      </c>
      <c r="D184" s="49">
        <f t="shared" si="19"/>
        <v>-1</v>
      </c>
      <c r="E184" s="11">
        <v>0</v>
      </c>
      <c r="F184" s="49" t="s">
        <v>170</v>
      </c>
      <c r="G184" s="11">
        <v>52</v>
      </c>
      <c r="H184" s="11">
        <v>0</v>
      </c>
      <c r="I184" s="11">
        <v>21.666666666666668</v>
      </c>
      <c r="J184" s="55" t="s">
        <v>170</v>
      </c>
      <c r="K184" s="53" t="s">
        <v>170</v>
      </c>
      <c r="L184" s="14" t="s">
        <v>170</v>
      </c>
    </row>
    <row r="185" spans="2:12" x14ac:dyDescent="0.3">
      <c r="B185" s="10" t="s">
        <v>139</v>
      </c>
      <c r="C185" s="11">
        <v>0</v>
      </c>
      <c r="D185" s="49" t="s">
        <v>170</v>
      </c>
      <c r="E185" s="11">
        <v>0</v>
      </c>
      <c r="F185" s="49" t="s">
        <v>170</v>
      </c>
      <c r="G185" s="11">
        <v>0</v>
      </c>
      <c r="H185" s="11">
        <v>299.85714285714283</v>
      </c>
      <c r="I185" s="11">
        <v>174.91666666666666</v>
      </c>
      <c r="J185" s="55" t="s">
        <v>170</v>
      </c>
      <c r="K185" s="53" t="s">
        <v>170</v>
      </c>
      <c r="L185" s="14" t="s">
        <v>170</v>
      </c>
    </row>
    <row r="186" spans="2:12" x14ac:dyDescent="0.3">
      <c r="B186" s="10" t="s">
        <v>140</v>
      </c>
      <c r="C186" s="11">
        <v>0</v>
      </c>
      <c r="D186" s="49" t="s">
        <v>170</v>
      </c>
      <c r="E186" s="11">
        <v>375.62</v>
      </c>
      <c r="F186" s="49">
        <f t="shared" si="20"/>
        <v>2.4924214188097897</v>
      </c>
      <c r="G186" s="11">
        <v>2288.7759999999998</v>
      </c>
      <c r="H186" s="11">
        <v>614</v>
      </c>
      <c r="I186" s="11">
        <v>1311.8233333333333</v>
      </c>
      <c r="J186" s="55">
        <f t="shared" si="21"/>
        <v>-0.92377022312455692</v>
      </c>
      <c r="K186" s="53">
        <v>100</v>
      </c>
      <c r="L186" s="14">
        <f t="shared" si="22"/>
        <v>1200</v>
      </c>
    </row>
    <row r="187" spans="2:12" x14ac:dyDescent="0.3">
      <c r="B187" s="10" t="s">
        <v>141</v>
      </c>
      <c r="C187" s="11">
        <v>10.89</v>
      </c>
      <c r="D187" s="49" t="s">
        <v>170</v>
      </c>
      <c r="E187" s="11">
        <v>0</v>
      </c>
      <c r="F187" s="49" t="s">
        <v>170</v>
      </c>
      <c r="G187" s="11">
        <v>0</v>
      </c>
      <c r="H187" s="11">
        <v>609.84</v>
      </c>
      <c r="I187" s="11">
        <v>355.74</v>
      </c>
      <c r="J187" s="55">
        <f t="shared" si="21"/>
        <v>-0.43779164558385342</v>
      </c>
      <c r="K187" s="53">
        <v>200</v>
      </c>
      <c r="L187" s="14">
        <f t="shared" si="22"/>
        <v>2400</v>
      </c>
    </row>
    <row r="188" spans="2:12" x14ac:dyDescent="0.3">
      <c r="B188" s="10" t="s">
        <v>142</v>
      </c>
      <c r="C188" s="11">
        <v>0</v>
      </c>
      <c r="D188" s="49" t="s">
        <v>170</v>
      </c>
      <c r="E188" s="11">
        <v>0</v>
      </c>
      <c r="F188" s="49" t="s">
        <v>170</v>
      </c>
      <c r="G188" s="11">
        <v>0</v>
      </c>
      <c r="H188" s="11">
        <v>10440</v>
      </c>
      <c r="I188" s="11">
        <v>6090</v>
      </c>
      <c r="J188" s="55" t="s">
        <v>170</v>
      </c>
      <c r="K188" s="53" t="s">
        <v>170</v>
      </c>
      <c r="L188" s="14" t="s">
        <v>170</v>
      </c>
    </row>
    <row r="189" spans="2:12" x14ac:dyDescent="0.3">
      <c r="B189" s="10" t="s">
        <v>143</v>
      </c>
      <c r="C189" s="11">
        <v>95.43</v>
      </c>
      <c r="D189" s="49">
        <f t="shared" si="19"/>
        <v>-1.9490726186733875E-2</v>
      </c>
      <c r="E189" s="11">
        <v>93.57</v>
      </c>
      <c r="F189" s="49">
        <f t="shared" si="20"/>
        <v>20.016930283922914</v>
      </c>
      <c r="G189" s="11">
        <v>3729.73</v>
      </c>
      <c r="H189" s="11">
        <v>707.14285714285711</v>
      </c>
      <c r="I189" s="11">
        <v>1966.5541666666668</v>
      </c>
      <c r="J189" s="55" t="s">
        <v>170</v>
      </c>
      <c r="K189" s="53" t="s">
        <v>170</v>
      </c>
      <c r="L189" s="14" t="s">
        <v>170</v>
      </c>
    </row>
    <row r="190" spans="2:12" x14ac:dyDescent="0.3">
      <c r="B190" s="10" t="s">
        <v>144</v>
      </c>
      <c r="C190" s="11">
        <v>233.83</v>
      </c>
      <c r="D190" s="49" t="s">
        <v>170</v>
      </c>
      <c r="E190" s="11">
        <v>0</v>
      </c>
      <c r="F190" s="49" t="s">
        <v>170</v>
      </c>
      <c r="G190" s="11">
        <v>0</v>
      </c>
      <c r="H190" s="11">
        <v>0</v>
      </c>
      <c r="I190" s="11">
        <v>0</v>
      </c>
      <c r="J190" s="55" t="s">
        <v>170</v>
      </c>
      <c r="K190" s="14" t="s">
        <v>170</v>
      </c>
      <c r="L190" s="14" t="s">
        <v>170</v>
      </c>
    </row>
    <row r="191" spans="2:12" x14ac:dyDescent="0.3">
      <c r="B191" s="10" t="s">
        <v>145</v>
      </c>
      <c r="C191" s="11">
        <v>60.75</v>
      </c>
      <c r="D191" s="49" t="s">
        <v>170</v>
      </c>
      <c r="E191" s="11">
        <v>0</v>
      </c>
      <c r="F191" s="49" t="s">
        <v>170</v>
      </c>
      <c r="G191" s="11">
        <v>0</v>
      </c>
      <c r="H191" s="11">
        <v>547.14285714285711</v>
      </c>
      <c r="I191" s="11">
        <v>319.16666666666669</v>
      </c>
      <c r="J191" s="55" t="s">
        <v>170</v>
      </c>
      <c r="K191" s="14" t="s">
        <v>170</v>
      </c>
      <c r="L191" s="14" t="s">
        <v>170</v>
      </c>
    </row>
    <row r="192" spans="2:12" x14ac:dyDescent="0.3">
      <c r="B192" s="10" t="s">
        <v>146</v>
      </c>
      <c r="C192" s="11">
        <v>0</v>
      </c>
      <c r="D192" s="49" t="s">
        <v>170</v>
      </c>
      <c r="E192" s="11">
        <v>0</v>
      </c>
      <c r="F192" s="49" t="s">
        <v>170</v>
      </c>
      <c r="G192" s="11">
        <v>0</v>
      </c>
      <c r="H192" s="11">
        <v>374.0814285714286</v>
      </c>
      <c r="I192" s="11">
        <v>218.21416666666667</v>
      </c>
      <c r="J192" s="55">
        <f t="shared" si="21"/>
        <v>0.14566347281149633</v>
      </c>
      <c r="K192" s="53">
        <v>250</v>
      </c>
      <c r="L192" s="14">
        <f t="shared" si="22"/>
        <v>3000</v>
      </c>
    </row>
    <row r="193" spans="2:12" ht="15.75" thickBot="1" x14ac:dyDescent="0.35">
      <c r="B193" s="10" t="s">
        <v>147</v>
      </c>
      <c r="C193" s="11">
        <v>150</v>
      </c>
      <c r="D193" s="49">
        <f t="shared" si="19"/>
        <v>3.1244666666666663</v>
      </c>
      <c r="E193" s="11">
        <v>618.66999999999996</v>
      </c>
      <c r="F193" s="49" t="s">
        <v>170</v>
      </c>
      <c r="G193" s="11">
        <v>0</v>
      </c>
      <c r="H193" s="11">
        <v>0</v>
      </c>
      <c r="I193" s="11">
        <v>0</v>
      </c>
      <c r="J193" s="55" t="s">
        <v>170</v>
      </c>
      <c r="K193" s="53">
        <v>375</v>
      </c>
      <c r="L193" s="14">
        <f t="shared" si="22"/>
        <v>4500</v>
      </c>
    </row>
    <row r="194" spans="2:12" ht="18" customHeight="1" thickBot="1" x14ac:dyDescent="0.35">
      <c r="B194" s="58" t="s">
        <v>181</v>
      </c>
      <c r="C194" s="59">
        <f>SUM(C179:C193)</f>
        <v>2652.6899999999996</v>
      </c>
      <c r="D194" s="60">
        <f t="shared" si="19"/>
        <v>0.16366782398244831</v>
      </c>
      <c r="E194" s="59">
        <f>SUM(E179:E193)</f>
        <v>3086.8500000000004</v>
      </c>
      <c r="F194" s="60">
        <f t="shared" si="20"/>
        <v>3.0630775169941309</v>
      </c>
      <c r="G194" s="59">
        <f>SUM(G179:G193)</f>
        <v>7480.5259999999998</v>
      </c>
      <c r="H194" s="59">
        <f>SUM(H179:H193)</f>
        <v>16157.528571428569</v>
      </c>
      <c r="I194" s="59">
        <f>SUM(I179:I193)</f>
        <v>12542.110833333334</v>
      </c>
      <c r="J194" s="63">
        <f>(K194-I194)/I194</f>
        <v>-0.84930766239308597</v>
      </c>
      <c r="K194" s="59">
        <f>SUM(K179:K193)</f>
        <v>1890</v>
      </c>
      <c r="L194" s="62">
        <f>K194*12</f>
        <v>22680</v>
      </c>
    </row>
    <row r="195" spans="2:12" ht="17.25" thickBot="1" x14ac:dyDescent="0.35">
      <c r="B195" s="58" t="s">
        <v>149</v>
      </c>
      <c r="C195" s="59">
        <f>SUM(C194,C176,C111,C60,C47,C22,C13)</f>
        <v>361157.42</v>
      </c>
      <c r="D195" s="60">
        <f t="shared" si="19"/>
        <v>0.11962963408034094</v>
      </c>
      <c r="E195" s="59">
        <f>SUM(E194,E176,E111,E60,E47,E22,E13)</f>
        <v>404362.55</v>
      </c>
      <c r="F195" s="60">
        <f t="shared" si="20"/>
        <v>0.17900239525148917</v>
      </c>
      <c r="G195" s="59">
        <f>SUM(G194,G176,G111,G60,G47,G22,G13)</f>
        <v>416745.44400000002</v>
      </c>
      <c r="H195" s="59">
        <f>SUM(H194,H176,H111,H60,H47,H22,H13)</f>
        <v>518861.2728571429</v>
      </c>
      <c r="I195" s="59">
        <f>SUM(I194,I176,I111,I60,I47,I22,I13)</f>
        <v>476744.41500000004</v>
      </c>
      <c r="J195" s="63"/>
      <c r="K195" s="59">
        <f>SUM(K194,K176,K111,K60,K47,K22,K13)</f>
        <v>501340.9718050001</v>
      </c>
      <c r="L195" s="62">
        <f>K195*12</f>
        <v>6016091.6616600007</v>
      </c>
    </row>
    <row r="197" spans="2:12" ht="15.75" thickBot="1" x14ac:dyDescent="0.35"/>
    <row r="198" spans="2:12" ht="17.25" thickBot="1" x14ac:dyDescent="0.35">
      <c r="B198" s="28" t="s">
        <v>150</v>
      </c>
      <c r="C198" s="19"/>
      <c r="D198" s="2"/>
      <c r="E198" s="3"/>
      <c r="F198" s="3"/>
      <c r="G198" s="3"/>
      <c r="H198" s="65"/>
    </row>
    <row r="199" spans="2:12" ht="16.5" x14ac:dyDescent="0.3">
      <c r="B199" s="29" t="s">
        <v>151</v>
      </c>
      <c r="C199" s="15">
        <f>K195</f>
        <v>501340.9718050001</v>
      </c>
      <c r="D199" s="2"/>
      <c r="F199" s="3"/>
      <c r="G199" s="3"/>
      <c r="H199" s="66"/>
    </row>
    <row r="200" spans="2:12" ht="17.25" thickBot="1" x14ac:dyDescent="0.35">
      <c r="B200" s="24" t="s">
        <v>152</v>
      </c>
      <c r="C200" s="17">
        <f>C199*1.88%</f>
        <v>9425.2102699340012</v>
      </c>
      <c r="D200" s="2"/>
      <c r="H200" s="66"/>
    </row>
    <row r="201" spans="2:12" ht="17.25" thickTop="1" x14ac:dyDescent="0.3">
      <c r="B201" s="30" t="s">
        <v>153</v>
      </c>
      <c r="C201" s="16">
        <f>C200+C199</f>
        <v>510766.18207493407</v>
      </c>
      <c r="D201" s="2"/>
      <c r="H201" s="66"/>
    </row>
    <row r="202" spans="2:12" ht="17.25" thickBot="1" x14ac:dyDescent="0.35">
      <c r="B202" s="24" t="s">
        <v>154</v>
      </c>
      <c r="C202" s="17">
        <f>(C201*10)/90</f>
        <v>56751.798008326004</v>
      </c>
      <c r="D202" s="2"/>
      <c r="H202" s="66"/>
    </row>
    <row r="203" spans="2:12" ht="18" thickTop="1" thickBot="1" x14ac:dyDescent="0.35">
      <c r="B203" s="31" t="s">
        <v>153</v>
      </c>
      <c r="C203" s="18">
        <f>C202+C201</f>
        <v>567517.9800832601</v>
      </c>
      <c r="D203" s="2"/>
    </row>
    <row r="204" spans="2:12" ht="17.25" thickBot="1" x14ac:dyDescent="0.35">
      <c r="B204" s="4"/>
      <c r="C204" s="5"/>
      <c r="D204" s="2"/>
      <c r="E204" s="3"/>
      <c r="F204" s="3"/>
      <c r="G204" s="3"/>
      <c r="H204" s="65"/>
    </row>
    <row r="205" spans="2:12" ht="17.25" thickBot="1" x14ac:dyDescent="0.35">
      <c r="B205" s="32" t="s">
        <v>156</v>
      </c>
      <c r="C205" s="20">
        <f>C201</f>
        <v>510766.18207493407</v>
      </c>
      <c r="D205" s="2"/>
      <c r="E205" s="3"/>
      <c r="F205" s="3"/>
      <c r="G205" s="3"/>
      <c r="H205" s="66"/>
    </row>
    <row r="206" spans="2:12" ht="18" thickTop="1" thickBot="1" x14ac:dyDescent="0.35">
      <c r="B206" s="31" t="s">
        <v>155</v>
      </c>
      <c r="C206" s="21">
        <f>C203</f>
        <v>567517.9800832601</v>
      </c>
      <c r="D206" s="2"/>
      <c r="H206" s="66"/>
    </row>
    <row r="207" spans="2:12" ht="17.25" thickBot="1" x14ac:dyDescent="0.35">
      <c r="B207" s="1"/>
      <c r="C207" s="6"/>
      <c r="D207" s="2"/>
      <c r="H207" s="66"/>
    </row>
    <row r="208" spans="2:12" ht="23.45" customHeight="1" x14ac:dyDescent="0.3">
      <c r="B208" s="67" t="s">
        <v>174</v>
      </c>
      <c r="C208" s="68">
        <f>(587.31*807)-1.88%</f>
        <v>473959.15119999996</v>
      </c>
      <c r="D208" s="2"/>
      <c r="E208" s="105"/>
    </row>
    <row r="209" spans="2:10" ht="17.25" thickBot="1" x14ac:dyDescent="0.35">
      <c r="B209" s="24" t="s">
        <v>175</v>
      </c>
      <c r="C209" s="17">
        <f>C206</f>
        <v>567517.9800832601</v>
      </c>
      <c r="D209" s="2"/>
      <c r="E209" s="23"/>
    </row>
    <row r="210" spans="2:10" ht="18" thickTop="1" thickBot="1" x14ac:dyDescent="0.35">
      <c r="B210" s="25" t="s">
        <v>157</v>
      </c>
      <c r="C210" s="22">
        <f>(C209-C208)/C208</f>
        <v>0.19739850712109247</v>
      </c>
      <c r="D210" s="2"/>
    </row>
    <row r="211" spans="2:10" ht="16.5" x14ac:dyDescent="0.3">
      <c r="B211" s="1"/>
      <c r="C211" s="7"/>
      <c r="D211" s="2"/>
      <c r="E211" s="7"/>
      <c r="F211" s="7"/>
      <c r="G211" s="7"/>
    </row>
    <row r="212" spans="2:10" ht="15.75" thickBot="1" x14ac:dyDescent="0.35">
      <c r="B212" s="1"/>
      <c r="C212" s="7"/>
      <c r="D212" s="7"/>
      <c r="E212" s="7"/>
      <c r="F212" s="7"/>
      <c r="G212" s="7"/>
    </row>
    <row r="213" spans="2:10" ht="15.75" thickBot="1" x14ac:dyDescent="0.35">
      <c r="B213" s="8"/>
      <c r="C213" s="158" t="s">
        <v>158</v>
      </c>
      <c r="D213" s="159"/>
      <c r="E213" s="159"/>
      <c r="F213" s="160"/>
      <c r="G213" s="7"/>
      <c r="H213" s="7"/>
      <c r="I213" s="7"/>
      <c r="J213" s="7"/>
    </row>
    <row r="214" spans="2:10" ht="15.75" thickBot="1" x14ac:dyDescent="0.35">
      <c r="B214" s="8"/>
      <c r="C214" s="158" t="s">
        <v>159</v>
      </c>
      <c r="D214" s="160"/>
      <c r="E214" s="158" t="s">
        <v>244</v>
      </c>
      <c r="F214" s="160"/>
      <c r="G214" s="7"/>
      <c r="H214" s="7"/>
      <c r="I214" s="7"/>
      <c r="J214" s="7"/>
    </row>
    <row r="215" spans="2:10" ht="15.75" thickBot="1" x14ac:dyDescent="0.35">
      <c r="B215" s="26" t="s">
        <v>187</v>
      </c>
      <c r="C215" s="161">
        <v>587.30999999999995</v>
      </c>
      <c r="D215" s="162"/>
      <c r="E215" s="163">
        <f>C215*C210+C215</f>
        <v>703.2441172172887</v>
      </c>
      <c r="F215" s="164"/>
      <c r="G215" s="7"/>
      <c r="H215" s="7"/>
      <c r="I215" s="7"/>
      <c r="J215" s="7"/>
    </row>
    <row r="216" spans="2:10" ht="16.5" thickTop="1" thickBot="1" x14ac:dyDescent="0.35">
      <c r="B216" s="27" t="s">
        <v>160</v>
      </c>
      <c r="C216" s="165">
        <v>528.57899999999995</v>
      </c>
      <c r="D216" s="166"/>
      <c r="E216" s="167">
        <f>E215*90%</f>
        <v>632.91970549555981</v>
      </c>
      <c r="F216" s="168"/>
      <c r="G216" s="7"/>
      <c r="H216" s="106"/>
      <c r="I216" s="7"/>
      <c r="J216" s="7"/>
    </row>
    <row r="217" spans="2:10" x14ac:dyDescent="0.3">
      <c r="B217" s="1"/>
      <c r="C217" s="7"/>
      <c r="D217" s="7"/>
      <c r="E217" s="7"/>
      <c r="F217" s="7"/>
      <c r="G217" s="7"/>
      <c r="H217" s="7"/>
      <c r="I217" s="7"/>
      <c r="J217" s="7"/>
    </row>
  </sheetData>
  <mergeCells count="70">
    <mergeCell ref="C216:D216"/>
    <mergeCell ref="E216:F216"/>
    <mergeCell ref="C213:F213"/>
    <mergeCell ref="C214:D214"/>
    <mergeCell ref="E214:F214"/>
    <mergeCell ref="C215:D215"/>
    <mergeCell ref="E215:F215"/>
    <mergeCell ref="L112:L113"/>
    <mergeCell ref="B177:B178"/>
    <mergeCell ref="C177:C178"/>
    <mergeCell ref="D177:D178"/>
    <mergeCell ref="E177:E178"/>
    <mergeCell ref="F177:F178"/>
    <mergeCell ref="G177:I177"/>
    <mergeCell ref="J177:J178"/>
    <mergeCell ref="K177:K178"/>
    <mergeCell ref="L177:L178"/>
    <mergeCell ref="B112:B113"/>
    <mergeCell ref="C112:C113"/>
    <mergeCell ref="D112:D113"/>
    <mergeCell ref="E112:E113"/>
    <mergeCell ref="F112:F113"/>
    <mergeCell ref="J48:J49"/>
    <mergeCell ref="K48:K49"/>
    <mergeCell ref="G112:I112"/>
    <mergeCell ref="J112:J113"/>
    <mergeCell ref="K112:K113"/>
    <mergeCell ref="L48:L49"/>
    <mergeCell ref="B61:B62"/>
    <mergeCell ref="C61:C62"/>
    <mergeCell ref="D61:D62"/>
    <mergeCell ref="E61:E62"/>
    <mergeCell ref="F61:F62"/>
    <mergeCell ref="G61:I61"/>
    <mergeCell ref="J61:J62"/>
    <mergeCell ref="K61:K62"/>
    <mergeCell ref="L61:L62"/>
    <mergeCell ref="B48:B49"/>
    <mergeCell ref="C48:C49"/>
    <mergeCell ref="D48:D49"/>
    <mergeCell ref="E48:E49"/>
    <mergeCell ref="F48:F49"/>
    <mergeCell ref="G48:I48"/>
    <mergeCell ref="K14:K15"/>
    <mergeCell ref="L14:L15"/>
    <mergeCell ref="B23:B24"/>
    <mergeCell ref="C23:C24"/>
    <mergeCell ref="D23:D24"/>
    <mergeCell ref="E23:E24"/>
    <mergeCell ref="F23:F24"/>
    <mergeCell ref="G23:I23"/>
    <mergeCell ref="J23:J24"/>
    <mergeCell ref="K23:K24"/>
    <mergeCell ref="L23:L24"/>
    <mergeCell ref="J6:J7"/>
    <mergeCell ref="K6:K7"/>
    <mergeCell ref="L6:L7"/>
    <mergeCell ref="B14:B15"/>
    <mergeCell ref="C14:C15"/>
    <mergeCell ref="D14:D15"/>
    <mergeCell ref="E14:E15"/>
    <mergeCell ref="F14:F15"/>
    <mergeCell ref="B6:B7"/>
    <mergeCell ref="C6:C7"/>
    <mergeCell ref="D6:D7"/>
    <mergeCell ref="E6:E7"/>
    <mergeCell ref="F6:F7"/>
    <mergeCell ref="G6:I6"/>
    <mergeCell ref="G14:I14"/>
    <mergeCell ref="J14:J15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B5D66-8CE8-4539-BE71-6F8E8DC2B8BC}">
  <dimension ref="B1:Q23"/>
  <sheetViews>
    <sheetView showGridLines="0" workbookViewId="0">
      <selection sqref="A1:XFD2"/>
    </sheetView>
  </sheetViews>
  <sheetFormatPr defaultRowHeight="15" x14ac:dyDescent="0.3"/>
  <cols>
    <col min="2" max="2" width="12.42578125" bestFit="1" customWidth="1"/>
    <col min="8" max="8" width="12.28515625" bestFit="1" customWidth="1"/>
    <col min="14" max="14" width="11.7109375" bestFit="1" customWidth="1"/>
    <col min="15" max="15" width="17.140625" customWidth="1"/>
    <col min="16" max="16" width="14.140625" bestFit="1" customWidth="1"/>
    <col min="17" max="17" width="15.7109375" bestFit="1" customWidth="1"/>
  </cols>
  <sheetData>
    <row r="1" spans="2:17" s="136" customFormat="1" ht="20.45" customHeight="1" x14ac:dyDescent="0.35">
      <c r="D1" s="124" t="s">
        <v>249</v>
      </c>
    </row>
    <row r="2" spans="2:17" s="136" customFormat="1" ht="21" customHeight="1" x14ac:dyDescent="0.35">
      <c r="D2" s="171" t="s">
        <v>250</v>
      </c>
      <c r="E2" s="171"/>
      <c r="F2" s="171"/>
      <c r="G2" s="171"/>
      <c r="H2" s="171"/>
      <c r="I2" s="171"/>
      <c r="J2" s="171"/>
    </row>
    <row r="3" spans="2:17" ht="18" x14ac:dyDescent="0.35">
      <c r="B3" s="93" t="s">
        <v>228</v>
      </c>
      <c r="C3" s="97" t="s">
        <v>231</v>
      </c>
      <c r="H3" s="93" t="s">
        <v>228</v>
      </c>
      <c r="I3" s="97" t="s">
        <v>232</v>
      </c>
      <c r="N3" s="94" t="s">
        <v>248</v>
      </c>
      <c r="O3" s="95">
        <f>P6/5</f>
        <v>32615.07</v>
      </c>
      <c r="P3" s="23">
        <f>P6/816/5</f>
        <v>39.969448529411764</v>
      </c>
    </row>
    <row r="4" spans="2:17" x14ac:dyDescent="0.3">
      <c r="B4" s="96">
        <f>51575.35+2250*6</f>
        <v>65075.35</v>
      </c>
      <c r="H4" s="96">
        <v>88000</v>
      </c>
    </row>
    <row r="5" spans="2:17" x14ac:dyDescent="0.3">
      <c r="O5" s="169" t="s">
        <v>233</v>
      </c>
      <c r="P5" s="169"/>
      <c r="Q5" s="100" t="s">
        <v>234</v>
      </c>
    </row>
    <row r="6" spans="2:17" ht="16.5" x14ac:dyDescent="0.3">
      <c r="O6" s="92" t="s">
        <v>229</v>
      </c>
      <c r="P6" s="98">
        <f>SUM(P7:P10)</f>
        <v>163075.35</v>
      </c>
      <c r="Q6" s="101">
        <f>P6/816</f>
        <v>199.84724264705883</v>
      </c>
    </row>
    <row r="7" spans="2:17" x14ac:dyDescent="0.3">
      <c r="O7" s="170" t="s">
        <v>230</v>
      </c>
      <c r="P7" s="44">
        <f>B4</f>
        <v>65075.35</v>
      </c>
      <c r="Q7" s="66" t="s">
        <v>231</v>
      </c>
    </row>
    <row r="8" spans="2:17" x14ac:dyDescent="0.3">
      <c r="O8" s="170"/>
      <c r="P8" s="44">
        <f>34000+10000+44000</f>
        <v>88000</v>
      </c>
      <c r="Q8" s="66" t="s">
        <v>232</v>
      </c>
    </row>
    <row r="9" spans="2:17" x14ac:dyDescent="0.3">
      <c r="O9" s="170"/>
      <c r="P9" s="44">
        <v>10000</v>
      </c>
      <c r="Q9" s="99" t="s">
        <v>247</v>
      </c>
    </row>
    <row r="10" spans="2:17" x14ac:dyDescent="0.3">
      <c r="O10" s="170"/>
      <c r="P10" s="44"/>
      <c r="Q10" s="99"/>
    </row>
    <row r="22" spans="2:9" x14ac:dyDescent="0.3">
      <c r="B22" s="93"/>
      <c r="C22" s="97"/>
      <c r="H22" s="93"/>
      <c r="I22" s="97"/>
    </row>
    <row r="23" spans="2:9" x14ac:dyDescent="0.3">
      <c r="B23" s="96"/>
      <c r="H23" s="96"/>
    </row>
  </sheetData>
  <mergeCells count="3">
    <mergeCell ref="O5:P5"/>
    <mergeCell ref="O7:O10"/>
    <mergeCell ref="D2:J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</vt:lpstr>
      <vt:lpstr>PREVISAO AJUSTADA 15,98%</vt:lpstr>
      <vt:lpstr>PREVISAO AJUSTADA 19,74%</vt:lpstr>
      <vt:lpstr>Time Ambiental Menor custo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coordenador</dc:creator>
  <cp:lastModifiedBy>Horácio Silva</cp:lastModifiedBy>
  <cp:lastPrinted>2026-02-12T18:32:47Z</cp:lastPrinted>
  <dcterms:created xsi:type="dcterms:W3CDTF">2014-09-24T17:34:21Z</dcterms:created>
  <dcterms:modified xsi:type="dcterms:W3CDTF">2026-07-03T13:27:38Z</dcterms:modified>
</cp:coreProperties>
</file>